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200" activeTab="2"/>
  </bookViews>
  <sheets>
    <sheet name="Дефектная ведомость" sheetId="1" r:id="rId1"/>
    <sheet name="Акт КС-2 для ТЕР МО (индекс " sheetId="2" r:id="rId2"/>
    <sheet name="Локальная смета 12 гр. Для Т" sheetId="3" r:id="rId3"/>
    <sheet name="Source" sheetId="4" r:id="rId4"/>
    <sheet name="SmtRes" sheetId="5" r:id="rId5"/>
    <sheet name="EtalonRes" sheetId="6" r:id="rId6"/>
    <sheet name="ClcRes" sheetId="7" r:id="rId7"/>
  </sheets>
  <definedNames>
    <definedName name="_xlnm.Print_Titles" localSheetId="1">'Акт КС-2 для ТЕР МО (индекс '!$30:$30</definedName>
    <definedName name="_xlnm.Print_Titles" localSheetId="0">'Дефектная ведомость'!$19:$19</definedName>
    <definedName name="_xlnm.Print_Titles" localSheetId="2">'Локальная смета 12 гр. Для Т'!$40:$40</definedName>
    <definedName name="_xlnm.Print_Area" localSheetId="1">'Акт КС-2 для ТЕР МО (индекс '!$A$1:$L$273</definedName>
    <definedName name="_xlnm.Print_Area" localSheetId="2">'Локальная смета 12 гр. Для Т'!$A$1:$L$282</definedName>
  </definedNames>
  <calcPr fullCalcOnLoad="1"/>
</workbook>
</file>

<file path=xl/sharedStrings.xml><?xml version="1.0" encoding="utf-8"?>
<sst xmlns="http://schemas.openxmlformats.org/spreadsheetml/2006/main" count="4127" uniqueCount="487">
  <si>
    <t>Smeta.ru  (495) 974-1589</t>
  </si>
  <si>
    <t>_PS_</t>
  </si>
  <si>
    <t>Smeta.ru</t>
  </si>
  <si>
    <t/>
  </si>
  <si>
    <t>Новый объект</t>
  </si>
  <si>
    <t>Благоустройство внутридворовой территории</t>
  </si>
  <si>
    <t>ТСНБ-2001 Московская область</t>
  </si>
  <si>
    <t>Сметные нормы списания</t>
  </si>
  <si>
    <t>Коды ценников</t>
  </si>
  <si>
    <t>ТСНБ+ФЕР 2012</t>
  </si>
  <si>
    <t>Версия 7.0.0.14 от 18.06.2012: для ФЕР, с п.3757-КК/08, п.6056-ИП/08,п.10753-ВТ/08 и п.15127-ИП/08 (Стр-во и рек-ия жилых / общ. зд.): Центральные регионы: Текущие цены</t>
  </si>
  <si>
    <t>ТСНБ-2001 Московской области</t>
  </si>
  <si>
    <t>Поправки  для НБ 2001 года  в ред. 2009 года от 29.03.2011</t>
  </si>
  <si>
    <t>Новая локальная смета</t>
  </si>
  <si>
    <t>{F45B2E30-FC82-4878-91A7-99DBEC927DFC}</t>
  </si>
  <si>
    <t>Новый раздел</t>
  </si>
  <si>
    <t>{83338C3E-E5FA-4DB5-B0FA-EB39815B3FB0}</t>
  </si>
  <si>
    <t>1</t>
  </si>
  <si>
    <t>68-33-4</t>
  </si>
  <si>
    <t>Валка деревьев с корня без корчевки пня мягколиственных и твердолиственных пород при диаметре ствола: до 48 см</t>
  </si>
  <si>
    <t>шт.</t>
  </si>
  <si>
    <t>ТСНБ-2001 Московская обл 68-33-4, распоряжение №52 от 06.09.2011г.</t>
  </si>
  <si>
    <t>1 дерево</t>
  </si>
  <si>
    <t>Ремонтно-строительные работы</t>
  </si>
  <si>
    <t>Благоустройство</t>
  </si>
  <si>
    <t>ФЕРр-68</t>
  </si>
  <si>
    <t>((*0.85))</t>
  </si>
  <si>
    <t>((*0.8))</t>
  </si>
  <si>
    <t>2</t>
  </si>
  <si>
    <t>68-2-2</t>
  </si>
  <si>
    <t>Формовочная обрезка деревьев высотой: более 5 м</t>
  </si>
  <si>
    <t>ТСНБ-2001 Московская обл 68-2-2, распоряжение №52 от 06.09.2011г.</t>
  </si>
  <si>
    <t>3</t>
  </si>
  <si>
    <t>68-5-1</t>
  </si>
  <si>
    <t>Вырезка кустарника</t>
  </si>
  <si>
    <t>ТСНБ-2001 Московская обл 68-5-1, распоряжение №52 от 06.09.2011г.</t>
  </si>
  <si>
    <t>4</t>
  </si>
  <si>
    <t>Техчасть индексов</t>
  </si>
  <si>
    <t>Погрузка  вручную</t>
  </si>
  <si>
    <t>т</t>
  </si>
  <si>
    <t>Прочие работы</t>
  </si>
  <si>
    <t>прочие</t>
  </si>
  <si>
    <t>5</t>
  </si>
  <si>
    <t>Вывоз мусора на 10 км</t>
  </si>
  <si>
    <t>6</t>
  </si>
  <si>
    <t>68-6-2</t>
  </si>
  <si>
    <t>Омоложение живых изгородей: мягких с обрезкой побегов на пень до 100 %</t>
  </si>
  <si>
    <t>м</t>
  </si>
  <si>
    <t>ТСНБ-2001 Московская обл 68-6-2, распоряжение №52 от 06.09.2011г.</t>
  </si>
  <si>
    <t>1 м живой изгороди</t>
  </si>
  <si>
    <t>7</t>
  </si>
  <si>
    <t>07-01-055-11</t>
  </si>
  <si>
    <t>Демонтаж столбов</t>
  </si>
  <si>
    <t>100 шт.</t>
  </si>
  <si>
    <t>ТСНБ-2001 Московская обл 07-01-055-11, распоряжение №52 от 06.09.2011г.</t>
  </si>
  <si>
    <t>Поправка: МДС 81-36.2004, п.3.3.1.д  Наименование:  При демонтаже металлических конструкций</t>
  </si>
  <si>
    <t>)*0</t>
  </si>
  <si>
    <t>)*0,7</t>
  </si>
  <si>
    <t>Общестроительные работы</t>
  </si>
  <si>
    <t>Сборные бетонные конструкции в промышленном строительстве  ( Произоводственные здания и сооружения )</t>
  </si>
  <si>
    <t>ФЕР-07</t>
  </si>
  <si>
    <t>Поправка: МДС 81-36.2004, п.3.3.1.д</t>
  </si>
  <si>
    <t>8</t>
  </si>
  <si>
    <t>68-4-2</t>
  </si>
  <si>
    <t>Выкашивание газонов: газонокосилкой</t>
  </si>
  <si>
    <t>100 м2</t>
  </si>
  <si>
    <t>ТСНБ-2001 Московская обл 68-4-2, распоряжение №52 от 06.09.2011г.</t>
  </si>
  <si>
    <t>100 м2 газонов</t>
  </si>
  <si>
    <t>9</t>
  </si>
  <si>
    <t>01-01-030-2</t>
  </si>
  <si>
    <t>Разработка грунта с перемещением до 10 м бульдозерами мощностью 59 кВт (80 л.с.), группа грунтов 2</t>
  </si>
  <si>
    <t>1000 м3</t>
  </si>
  <si>
    <t>ТСНБ-2001 Московская обл 01-01-030-2, распоряжение №52 от 06.09.2011г.</t>
  </si>
  <si>
    <t>1000 м3 грунта</t>
  </si>
  <si>
    <t>Земляные работы, выполняемые  механизированным способом</t>
  </si>
  <si>
    <t>ФЕР-01</t>
  </si>
  <si>
    <t>10</t>
  </si>
  <si>
    <t>01-01-013-8</t>
  </si>
  <si>
    <t>Погрузка на автомобили-самосвалы экскаваторами с ковшом вместимостью 0,65 (0,5-1) м3, группа грунтов 2</t>
  </si>
  <si>
    <t>ТСНБ-2001 Московская обл 01-01-013-8, распоряжение №52 от 06.09.2011г.</t>
  </si>
  <si>
    <t>11</t>
  </si>
  <si>
    <t>Вывоз грунта на 10 км</t>
  </si>
  <si>
    <t>12</t>
  </si>
  <si>
    <t>47-01-046-3</t>
  </si>
  <si>
    <t>Подготовка почвы для устройства партерного и обыкновенного газона с внесением растительной земли слоем 10 см механизированным способом</t>
  </si>
  <si>
    <t>ТСНБ-2001 Московская обл 47-01-046-3, распоряжение №52 от 06.09.2011г.</t>
  </si>
  <si>
    <t>Озеленение. Защитные лесонасаждения</t>
  </si>
  <si>
    <t>ФЕР-47</t>
  </si>
  <si>
    <t>12,1</t>
  </si>
  <si>
    <t>407-0013</t>
  </si>
  <si>
    <t>Земля растительная механизированной заготовки</t>
  </si>
  <si>
    <t>м3</t>
  </si>
  <si>
    <t>ТСНБ-2001 Московская обл распоряжение № 51от 06.09.2011г. 407-0013</t>
  </si>
  <si>
    <t>12,2</t>
  </si>
  <si>
    <t>12,3</t>
  </si>
  <si>
    <t>408-0122</t>
  </si>
  <si>
    <t>Песок природный для строительных работ средний</t>
  </si>
  <si>
    <t>ТСНБ-2001 Московская обл распоряжение № 51от 06.09.2011г. 408-0122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</si>
  <si>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</si>
  <si>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</si>
  <si>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</si>
  <si>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</si>
  <si>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</si>
  <si>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</si>
  <si>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</si>
  <si>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</si>
  <si>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</si>
  <si>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</si>
  <si>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</si>
  <si>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</si>
  <si>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</si>
  <si>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</si>
  <si>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</si>
  <si>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</si>
  <si>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</si>
  <si>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</si>
  <si>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</si>
  <si>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</si>
  <si>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</si>
  <si>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</si>
  <si>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</si>
  <si>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</si>
  <si>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</si>
  <si>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</si>
  <si>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{15E5D9AF-910D-4035-8DA6-93D39BCEE146}</t>
  </si>
  <si>
    <t>13</t>
  </si>
  <si>
    <t>14</t>
  </si>
  <si>
    <t>15</t>
  </si>
  <si>
    <t>16</t>
  </si>
  <si>
    <t>17</t>
  </si>
  <si>
    <t>18</t>
  </si>
  <si>
    <t>19</t>
  </si>
  <si>
    <t>19,1</t>
  </si>
  <si>
    <t>19,2</t>
  </si>
  <si>
    <t>19,3</t>
  </si>
  <si>
    <t>{1C8DA78C-52C6-465B-A970-805DAED5D33A}</t>
  </si>
  <si>
    <t>20</t>
  </si>
  <si>
    <t>21</t>
  </si>
  <si>
    <t>22</t>
  </si>
  <si>
    <t>23</t>
  </si>
  <si>
    <t>23,1</t>
  </si>
  <si>
    <t>23,2</t>
  </si>
  <si>
    <t>23,3</t>
  </si>
  <si>
    <t>{DC9AA558-0547-48F2-81C9-22BF1B5DA919}</t>
  </si>
  <si>
    <t>24</t>
  </si>
  <si>
    <t>24,1</t>
  </si>
  <si>
    <t>24,2</t>
  </si>
  <si>
    <t>24,3</t>
  </si>
  <si>
    <t>25</t>
  </si>
  <si>
    <t>Прим. Установка металлических столбов</t>
  </si>
  <si>
    <t>25,1</t>
  </si>
  <si>
    <t>103-0160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</si>
  <si>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3,5 мм</t>
  </si>
  <si>
    <t>ТСНБ-2001 Московская обл 103-0160</t>
  </si>
  <si>
    <t>26</t>
  </si>
  <si>
    <t>09-03-014-1</t>
  </si>
  <si>
    <t>Монтаж связей из трубы</t>
  </si>
  <si>
    <t>ТСНБ-2001 Московская обл 09-03-014-1, распоряжение №52 от 06.09.2011г.</t>
  </si>
  <si>
    <t>1 т конструкций</t>
  </si>
  <si>
    <t>Металло-конструкции</t>
  </si>
  <si>
    <t>ФЕР-09</t>
  </si>
  <si>
    <t>26,1</t>
  </si>
  <si>
    <t>27</t>
  </si>
  <si>
    <t>13-03-002-4</t>
  </si>
  <si>
    <t>Огрунтовка металлических поверхностей за один раз грунтовкой ГФ-021</t>
  </si>
  <si>
    <t>ТСНБ-2001 Московская обл 13-03-002-4, распоряжение №52 от 06.09.2011г.</t>
  </si>
  <si>
    <t>100 м2 окрашиваемой поверхности</t>
  </si>
  <si>
    <t>Защита строительных конструкций</t>
  </si>
  <si>
    <t>ФЕР-13</t>
  </si>
  <si>
    <t>28</t>
  </si>
  <si>
    <t>13-03-004-26</t>
  </si>
  <si>
    <t>Окраска металлических огрунтованных поверхностей эмалью ПФ-115</t>
  </si>
  <si>
    <t>ТСНБ-2001 Московская обл 13-03-004-26, распоряжение №52 от 06.09.2011г.</t>
  </si>
  <si>
    <t>Итог1</t>
  </si>
  <si>
    <t>Итого</t>
  </si>
  <si>
    <t>Итог2</t>
  </si>
  <si>
    <t>НДС 18%</t>
  </si>
  <si>
    <t>ВСЕГО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</si>
  <si>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</si>
  <si>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</si>
  <si>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</si>
  <si>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</si>
  <si>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</si>
  <si>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</si>
  <si>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</si>
  <si>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</si>
  <si>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</si>
  <si>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</si>
  <si>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</si>
  <si>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</si>
  <si>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</si>
  <si>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</si>
  <si>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</si>
  <si>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</si>
  <si>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</si>
  <si>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</si>
  <si>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</si>
  <si>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</si>
  <si>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</si>
  <si>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</si>
  <si>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</si>
  <si>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</si>
  <si>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</si>
  <si>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</si>
  <si>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</si>
  <si>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</si>
  <si>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</si>
  <si>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</si>
  <si>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</si>
  <si>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</si>
  <si>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</si>
  <si>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</si>
  <si>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</si>
  <si>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</si>
  <si>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</si>
  <si>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</si>
  <si>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</si>
  <si>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</si>
  <si>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</si>
  <si>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</si>
  <si>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</si>
  <si>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</si>
  <si>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</si>
  <si>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1-1035-90</t>
  </si>
  <si>
    <t>Рабочий строитель среднего разряда 3,5</t>
  </si>
  <si>
    <t>чел.-ч</t>
  </si>
  <si>
    <t>Затраты труда машинистов</t>
  </si>
  <si>
    <t>чел.час</t>
  </si>
  <si>
    <t>331601</t>
  </si>
  <si>
    <t>ТСНБ-2001 Московская обл распоряжение № 51от 06.09.2011г. 331601</t>
  </si>
  <si>
    <t>Пила с карбюраторным двигателем</t>
  </si>
  <si>
    <t>маш.-ч</t>
  </si>
  <si>
    <t>1-1029-90</t>
  </si>
  <si>
    <t>Рабочий строитель среднего разряда 2,9</t>
  </si>
  <si>
    <t>031005</t>
  </si>
  <si>
    <t>ТСНБ-2001 Московская обл распоряжение № 51от 06.09.2011г. 031005</t>
  </si>
  <si>
    <t>Автогидроподъемники высотой подъема свыше 35 м</t>
  </si>
  <si>
    <t>1-1018-90</t>
  </si>
  <si>
    <t>Рабочий строитель среднего разряда 1,8</t>
  </si>
  <si>
    <t>1-1036-90</t>
  </si>
  <si>
    <t>Рабочий строитель среднего разряда 3,6</t>
  </si>
  <si>
    <t>021141</t>
  </si>
  <si>
    <t>ТСНБ-2001 Московская обл распоряжение № 51от 06.09.2011г. 021141</t>
  </si>
  <si>
    <t>Краны на автомобильном ходу при работе на других видах строительства 10 т</t>
  </si>
  <si>
    <t>030101</t>
  </si>
  <si>
    <t>ТСНБ-2001 Московская обл распоряжение № 51от 06.09.2011г. 030101</t>
  </si>
  <si>
    <t>Автопогрузчики 5 т</t>
  </si>
  <si>
    <t>040502</t>
  </si>
  <si>
    <t>ТСНБ-2001 Московская обл распоряжение № 51от 06.09.2011г. 040502</t>
  </si>
  <si>
    <t>Установки для сварки ручной дуговой (постоянного тока)</t>
  </si>
  <si>
    <t>060337</t>
  </si>
  <si>
    <t>ТСНБ-2001 Московская обл распоряжение № 51от 06.09.2011г. 060337</t>
  </si>
  <si>
    <t>Экскаваторы одноковшовые дизельные на пневмоколесном ходу при работе на других видах строительства 0,25 м3</t>
  </si>
  <si>
    <t>400001</t>
  </si>
  <si>
    <t>ТСНБ-2001 Московская обл распоряжение № 51от 06.09.2011г. 400001</t>
  </si>
  <si>
    <t>Автомобили бортовые, грузоподъемность до 5 т</t>
  </si>
  <si>
    <t>101-1305</t>
  </si>
  <si>
    <t>ТСНБ-2001 Московская обл 101-1305</t>
  </si>
  <si>
    <t>Портландцемент общестроительного назначения бездобавочный марки 400</t>
  </si>
  <si>
    <t>101-1529</t>
  </si>
  <si>
    <t>ТСНБ-2001 Московская обл 101-1529</t>
  </si>
  <si>
    <t>Электроды диаметром 6 мм Э42</t>
  </si>
  <si>
    <t>403-9120</t>
  </si>
  <si>
    <t>ТСНБ-2001 Московская обл распоряжение № 51от 06.09.2011г. 403-9120</t>
  </si>
  <si>
    <t>Столбы бетонные</t>
  </si>
  <si>
    <t>408-0029</t>
  </si>
  <si>
    <t>ТСНБ-2001 Московская обл распоряжение № 51от 06.09.2011г. 408-0029</t>
  </si>
  <si>
    <t>Щебень из природного камня для строительных работ марка 200, фракция 5(3)-10 мм</t>
  </si>
  <si>
    <t>411-0001</t>
  </si>
  <si>
    <t>ТСНБ-2001 Московская обл распоряжение № 51от 06.09.2011г. 411-0001</t>
  </si>
  <si>
    <t>Вода</t>
  </si>
  <si>
    <t>1-1021-90</t>
  </si>
  <si>
    <t>Рабочий строитель среднего разряда 2,1</t>
  </si>
  <si>
    <t>092402</t>
  </si>
  <si>
    <t>ТСНБ-2001 Московская обл распоряжение № 51от 06.09.2011г. 092402</t>
  </si>
  <si>
    <t>Газонокосилки моторные</t>
  </si>
  <si>
    <t>070148</t>
  </si>
  <si>
    <t>ТСНБ-2001 Московская обл распоряжение № 51от 06.09.2011г. 070148</t>
  </si>
  <si>
    <t>Бульдозеры при работе на других видах строительства 59 кВт (80 л.с.)</t>
  </si>
  <si>
    <t>1-1020-90</t>
  </si>
  <si>
    <t>Рабочий строитель среднего разряда 2</t>
  </si>
  <si>
    <t>060248</t>
  </si>
  <si>
    <t>ТСНБ-2001 Московская обл распоряжение № 51от 06.09.2011г. 060248</t>
  </si>
  <si>
    <t>Экскаваторы одноковшовые дизельные на гусеничном ходу при работе на других видах строительства 0,65 м3</t>
  </si>
  <si>
    <t>070149</t>
  </si>
  <si>
    <t>ТСНБ-2001 Московская обл распоряжение № 51от 06.09.2011г. 070149</t>
  </si>
  <si>
    <t>Бульдозеры при работе на других видах строительства 79 кВт (108 л.с.)</t>
  </si>
  <si>
    <t>408-0015</t>
  </si>
  <si>
    <t>ТСНБ-2001 Московская обл распоряжение № 51от 06.09.2011г. 408-0015</t>
  </si>
  <si>
    <t>Щебень из природного камня для строительных работ марка 800, фракция 20-40 мм</t>
  </si>
  <si>
    <t>1-1022-90</t>
  </si>
  <si>
    <t>Рабочий строитель среднего разряда 2,2</t>
  </si>
  <si>
    <t>010410</t>
  </si>
  <si>
    <t>ТСНБ-2001 Московская обл распоряжение № 51от 06.09.2011г. 010410</t>
  </si>
  <si>
    <t>Тракторы на пневмоколесном ходу при работе на других видах строительства 59 кВт (80 л.с.)</t>
  </si>
  <si>
    <t>092701</t>
  </si>
  <si>
    <t>ТСНБ-2001 Московская обл распоряжение № 51от 06.09.2011г. 092701</t>
  </si>
  <si>
    <t>Катки прицепные кольчатые 1 т</t>
  </si>
  <si>
    <t>1-1032-90</t>
  </si>
  <si>
    <t>Рабочий строитель среднего разряда 3,2</t>
  </si>
  <si>
    <t>020403</t>
  </si>
  <si>
    <t>ТСНБ-2001 Московская обл распоряжение № 51от 06.09.2011г. 020403</t>
  </si>
  <si>
    <t>Краны козловые при работе на монтаже технологического оборудования 32 т</t>
  </si>
  <si>
    <t>021244</t>
  </si>
  <si>
    <t>ТСНБ-2001 Московская обл распоряжение № 51от 06.09.2011г. 021244</t>
  </si>
  <si>
    <t>Краны на гусеничном ходу при работе на других видах строительства 25 т</t>
  </si>
  <si>
    <t>040504</t>
  </si>
  <si>
    <t>ТСНБ-2001 Московская обл распоряжение № 51от 06.09.2011г. 040504</t>
  </si>
  <si>
    <t>Аппарат для газовой сварки и резки</t>
  </si>
  <si>
    <t>041000</t>
  </si>
  <si>
    <t>ТСНБ-2001 Московская обл распоряжение № 51от 06.09.2011г. 041000</t>
  </si>
  <si>
    <t>Преобразователи сварочные с номинальным сварочным током 315-500 А</t>
  </si>
  <si>
    <t>101-0309</t>
  </si>
  <si>
    <t>ТСНБ-2001 Московская обл 101-0309</t>
  </si>
  <si>
    <t>Канаты пеньковые пропитанные</t>
  </si>
  <si>
    <t>101-0324</t>
  </si>
  <si>
    <t>ТСНБ-2001 Московская обл 101-0324</t>
  </si>
  <si>
    <t>Кислород технический газообразный</t>
  </si>
  <si>
    <t>101-0797</t>
  </si>
  <si>
    <t>ТСНБ-2001 Московская обл 101-0797</t>
  </si>
  <si>
    <t>Проволока горячекатаная в мотках, диаметром 6,3-6,5 мм</t>
  </si>
  <si>
    <t>101-1019</t>
  </si>
  <si>
    <t>ТСНБ-2001 Московская обл 101-1019</t>
  </si>
  <si>
    <t>Швеллеры № 40 из стали марки Ст0</t>
  </si>
  <si>
    <t>101-1513</t>
  </si>
  <si>
    <t>ТСНБ-2001 Московская обл 101-1513</t>
  </si>
  <si>
    <t>Электроды диаметром 4 мм Э42</t>
  </si>
  <si>
    <t>101-1714</t>
  </si>
  <si>
    <t>ТСНБ-2001 Московская обл 101-1714</t>
  </si>
  <si>
    <t>Болты с гайками и шайбами строительные</t>
  </si>
  <si>
    <t>101-1805</t>
  </si>
  <si>
    <t>ТСНБ-2001 Московская обл 101-1805</t>
  </si>
  <si>
    <t>Гвозди строительные</t>
  </si>
  <si>
    <t>101-2278</t>
  </si>
  <si>
    <t>ТСНБ-2001 Московская обл 101-2278</t>
  </si>
  <si>
    <t>Пропан-бутан, смесь техническая</t>
  </si>
  <si>
    <t>кг</t>
  </si>
  <si>
    <t>101-2467</t>
  </si>
  <si>
    <t>ТСНБ-2001 Московская обл 101-2467</t>
  </si>
  <si>
    <t>Растворитель марки Р-4</t>
  </si>
  <si>
    <t>102-0023</t>
  </si>
  <si>
    <t>ТСНБ-2001 Московская обл 102-0023</t>
  </si>
  <si>
    <t>Бруски обрезные хвойных пород длиной 4-6,5 м, шириной 75-150 мм, толщиной 40-75 мм, I сорта</t>
  </si>
  <si>
    <t>113-0021</t>
  </si>
  <si>
    <t>ТСНБ-2001 Московская обл 113-0021</t>
  </si>
  <si>
    <t>Гpунтовка ГФ-021 красно-коричневая</t>
  </si>
  <si>
    <t>201-0756</t>
  </si>
  <si>
    <t>ТСНБ-2001 Московская обл распоряжение № 51от 06.09.2011г. 201-0756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</si>
  <si>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</si>
  <si>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201-9002</t>
  </si>
  <si>
    <t>ТСНБ-2001 Московская обл распоряжение № 51от 06.09.2011г. 201-9002</t>
  </si>
  <si>
    <t>Конструкции стальные</t>
  </si>
  <si>
    <t>508-0097</t>
  </si>
  <si>
    <t>ТСНБ-2001 Московская обл распоряжение №51 от 06.09.2011г. 508-0097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</si>
  <si>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</si>
  <si>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</si>
  <si>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1-1047-90</t>
  </si>
  <si>
    <t>Рабочий строитель среднего разряда 4,7</t>
  </si>
  <si>
    <t>030401</t>
  </si>
  <si>
    <t>ТСНБ-2001 Московская обл распоряжение № 51от 06.09.2011г. 030401</t>
  </si>
  <si>
    <t>Лебедки электрические тяговым усилием до 5,79 кН (0,59 т)</t>
  </si>
  <si>
    <t>340101</t>
  </si>
  <si>
    <t>ТСНБ-2001 Московская обл распоряжение № 51от 06.09.2011г. 340101</t>
  </si>
  <si>
    <t>Агрегаты окрасочные высокого давления для окраски поверхностей конструкций мощностью 1 кВт</t>
  </si>
  <si>
    <t>113-0077</t>
  </si>
  <si>
    <t>ТСНБ-2001 Московская обл 113-0077</t>
  </si>
  <si>
    <t>Ксилол нефтяной марки А</t>
  </si>
  <si>
    <t>101-1292</t>
  </si>
  <si>
    <t>ТСНБ-2001 Московская обл 101-1292</t>
  </si>
  <si>
    <t>Уайт-спирит</t>
  </si>
  <si>
    <t>113-0246</t>
  </si>
  <si>
    <t>ТСНБ-2001 Московская обл 113-0246</t>
  </si>
  <si>
    <t>Эмаль ПФ-115 серая</t>
  </si>
  <si>
    <t>"СОГЛАСОВАНО"</t>
  </si>
  <si>
    <t>"УТВЕРЖДАЮ"</t>
  </si>
  <si>
    <t>"_____"________________200___ г.</t>
  </si>
  <si>
    <t>(Наименование стройки)</t>
  </si>
  <si>
    <t xml:space="preserve">Номер заказа  </t>
  </si>
  <si>
    <t xml:space="preserve">ЛОКАЛЬНАЯ СМЕТА №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</si>
  <si>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</si>
  <si>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</si>
  <si>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</si>
  <si>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</si>
  <si>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</si>
  <si>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</si>
  <si>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</si>
  <si>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</si>
  <si>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</si>
  <si>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</si>
  <si>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</si>
  <si>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</si>
  <si>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Июнь 2012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</si>
  <si>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</si>
  <si>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</si>
  <si>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</si>
  <si>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</si>
  <si>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</si>
  <si>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</si>
  <si>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</si>
  <si>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</si>
  <si>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</si>
  <si>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</si>
  <si>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</si>
  <si>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</si>
  <si>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</si>
  <si>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</si>
  <si>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</si>
  <si>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</si>
  <si>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</si>
  <si>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</si>
  <si>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</si>
  <si>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</si>
  <si>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</si>
  <si>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</si>
  <si>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</si>
  <si>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</si>
  <si>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</si>
  <si>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</si>
  <si>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</si>
  <si>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</si>
  <si>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</si>
  <si>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</si>
  <si>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</si>
  <si>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</si>
  <si>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</si>
  <si>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</si>
  <si>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</si>
  <si>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Локальная смета  </t>
  </si>
  <si>
    <t xml:space="preserve">Раздел  </t>
  </si>
  <si>
    <t>Зарплата</t>
  </si>
  <si>
    <t>Накладные расходы от ФОТ</t>
  </si>
  <si>
    <t>%</t>
  </si>
  <si>
    <t>Затраты труда</t>
  </si>
  <si>
    <t>чел-ч</t>
  </si>
  <si>
    <t>в т.ч. зарплата машинистов</t>
  </si>
  <si>
    <t>Материальные ресурсы</t>
  </si>
  <si>
    <t>Итого по смете</t>
  </si>
  <si>
    <t>Итого по объекту</t>
  </si>
  <si>
    <t>ИСПОЛНИЛ</t>
  </si>
  <si>
    <t>[должность,подпись(инициалы,фамилия)]</t>
  </si>
  <si>
    <t>ПРОВЕРИЛ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</si>
  <si>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</si>
  <si>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</si>
  <si>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</si>
  <si>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</si>
  <si>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</si>
  <si>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</si>
  <si>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 xml:space="preserve">Инвестор </t>
  </si>
  <si>
    <t>по ОКПО</t>
  </si>
  <si>
    <t xml:space="preserve">Заказчик </t>
  </si>
  <si>
    <t xml:space="preserve">Подрядчик </t>
  </si>
  <si>
    <t xml:space="preserve">Стройка </t>
  </si>
  <si>
    <t xml:space="preserve">Объект </t>
  </si>
  <si>
    <t>Вид деятельности по ОКДП</t>
  </si>
  <si>
    <t>Договор подряда (контракт)</t>
  </si>
  <si>
    <t>номер</t>
  </si>
  <si>
    <t>дата</t>
  </si>
  <si>
    <t>Номер документа</t>
  </si>
  <si>
    <t>Дата составления</t>
  </si>
  <si>
    <t>Отчетный период</t>
  </si>
  <si>
    <t>с</t>
  </si>
  <si>
    <t>по</t>
  </si>
  <si>
    <t>AKT ВЫПОЛНЕННЫХ РАБОТ</t>
  </si>
  <si>
    <t xml:space="preserve">Составлен(а) в ценах 2001 г. с учетом коэффициентов пересчета к базисной стоимости СМР в текущий уровень цен базисно-индексным методом </t>
  </si>
  <si>
    <t>г.</t>
  </si>
  <si>
    <t>ПОДРЯДЧИК</t>
  </si>
  <si>
    <t>ЗАКАЗЧИК</t>
  </si>
  <si>
    <t>______________________________</t>
  </si>
  <si>
    <t>" ___ " ___________ 20 ___ г.</t>
  </si>
  <si>
    <t>Дефектный акт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</si>
  <si>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</si>
  <si>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</si>
  <si>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</si>
  <si>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измерен.</t>
  </si>
  <si>
    <t>Коли-</t>
  </si>
  <si>
    <t>чество</t>
  </si>
  <si>
    <t>Примечание</t>
  </si>
  <si>
    <t>Заказчик _________________</t>
  </si>
  <si>
    <t>Подрядчик _________________</t>
  </si>
  <si>
    <t>Внутридворовая территория около д. 35а</t>
  </si>
  <si>
    <t>Внутридворовая территория около д. 41</t>
  </si>
  <si>
    <t>Внутридворовая территория около д. 37</t>
  </si>
  <si>
    <t>Внутридворовая территория около д. 35</t>
  </si>
  <si>
    <t>Городское поселение Краснозаводск Сергиево-Посадского муниципального района Московской области</t>
  </si>
  <si>
    <t xml:space="preserve">ЛОКАЛЬНАЯ СМЕТА  </t>
  </si>
  <si>
    <t>Благоустройство внутридворовой территории, ограниченной многоквартирными жилыми домами №№35, 37, 39, 41 и 35-А по улице 1 Мая города Краснозаводска городского поселения Краснозаводск Сергиево-Посадского муниципального района Московской области</t>
  </si>
  <si>
    <t>Пункт 1.2 проекта решения Совета депутатов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</si>
</sst>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2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2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right" wrapText="1"/>
    </xf>
    <xf numFmtId="2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2" fillId="0" borderId="1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/>
    </xf>
    <xf numFmtId="0" fontId="15" fillId="0" borderId="15" xfId="0" applyFont="1" applyBorder="1" applyAlignment="1">
      <alignment wrapText="1"/>
    </xf>
    <xf numFmtId="0" fontId="39" fillId="0" borderId="11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shrinkToFit="1"/>
    </xf>
    <xf numFmtId="0" fontId="39" fillId="0" borderId="15" xfId="0" applyFont="1" applyBorder="1" applyAlignment="1">
      <alignment horizontal="center" vertical="top" shrinkToFit="1"/>
    </xf>
    <xf numFmtId="0" fontId="39" fillId="0" borderId="16" xfId="0" applyFont="1" applyBorder="1" applyAlignment="1">
      <alignment horizontal="center" vertical="top" shrinkToFit="1"/>
    </xf>
    <xf numFmtId="0" fontId="39" fillId="0" borderId="12" xfId="0" applyFont="1" applyBorder="1" applyAlignment="1">
      <alignment horizontal="center" vertical="top" shrinkToFit="1"/>
    </xf>
    <xf numFmtId="0" fontId="1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1" fillId="0" borderId="0" xfId="0" applyFont="1" applyAlignment="1">
      <alignment/>
    </xf>
    <xf numFmtId="0" fontId="15" fillId="0" borderId="11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172" fontId="16" fillId="0" borderId="0" xfId="0" applyNumberFormat="1" applyFont="1" applyAlignment="1">
      <alignment horizontal="right"/>
    </xf>
    <xf numFmtId="172" fontId="15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18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wrapText="1"/>
    </xf>
    <xf numFmtId="172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424">
      <selection activeCell="B477" sqref="B477"/>
    </sheetView>
  </sheetViews>
  <sheetFormatPr defaultColWidth="9.140625" defaultRowHeight="12.75"/>
  <cols>
    <col min="1" max="1" width="5.7109375" style="0" customWidth="1"/>
    <col min="2" max="2" width="76.7109375" style="0" customWidth="1"/>
    <col min="3" max="4" width="18.7109375" style="0" customWidth="1"/>
    <col min="5" max="5" width="20.7109375" style="0" customWidth="1"/>
    <col min="27" max="27" width="137.7109375" style="0" hidden="1" customWidth="1"/>
    <col min="28" max="28" width="0" style="0" hidden="1" customWidth="1"/>
  </cols>
  <sheetData>
    <row r="1" spans="1:5" ht="12.75">
      <c r="A1" s="83" t="str">
        <f>Source!B1</f>
        <v>Smeta.ru  (495) 974-1589</v>
      </c>
      <c r="B1" s="84"/>
      <c r="C1" s="84"/>
      <c r="D1" s="84"/>
      <c r="E1" s="84"/>
    </row>
    <row r="3" spans="3:4" ht="18.75">
      <c r="C3" s="60" t="s">
        <v>374</v>
      </c>
      <c r="D3" s="60"/>
    </row>
    <row r="4" spans="3:4" ht="18.75">
      <c r="C4" s="60"/>
      <c r="D4" s="60" t="s">
        <v>467</v>
      </c>
    </row>
    <row r="5" spans="3:4" ht="18.75">
      <c r="C5" s="60"/>
      <c r="D5" s="60" t="s">
        <v>467</v>
      </c>
    </row>
    <row r="6" ht="15.75">
      <c r="C6" s="61" t="s">
        <v>468</v>
      </c>
    </row>
    <row r="10" ht="20.25">
      <c r="B10" s="62" t="s">
        <v>469</v>
      </c>
    </row>
    <row r="11" spans="2:12" ht="102" customHeight="1">
      <c r="B11" s="12" t="s">
        <v>485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4" ht="15.75">
      <c r="B14" s="63" t="s">
        <v>470</v>
      </c>
    </row>
    <row r="15" ht="15.75">
      <c r="B15" s="63" t="s">
        <v>471</v>
      </c>
    </row>
    <row r="16" ht="15.75">
      <c r="B16" s="63" t="s">
        <v>472</v>
      </c>
    </row>
    <row r="17" spans="1:5" ht="15">
      <c r="A17" s="19" t="s">
        <v>392</v>
      </c>
      <c r="B17" s="19" t="s">
        <v>398</v>
      </c>
      <c r="C17" s="19" t="s">
        <v>399</v>
      </c>
      <c r="D17" s="19" t="s">
        <v>474</v>
      </c>
      <c r="E17" s="20" t="s">
        <v>476</v>
      </c>
    </row>
    <row r="18" spans="1:5" ht="15">
      <c r="A18" s="21" t="s">
        <v>393</v>
      </c>
      <c r="B18" s="21"/>
      <c r="C18" s="21" t="s">
        <v>473</v>
      </c>
      <c r="D18" s="21" t="s">
        <v>475</v>
      </c>
      <c r="E18" s="23"/>
    </row>
    <row r="19" spans="1:5" ht="15">
      <c r="A19" s="19">
        <v>1</v>
      </c>
      <c r="B19" s="19">
        <v>2</v>
      </c>
      <c r="C19" s="19">
        <v>3</v>
      </c>
      <c r="D19" s="19">
        <v>4</v>
      </c>
      <c r="E19" s="20">
        <v>5</v>
      </c>
    </row>
    <row r="20" spans="1:27" ht="15.75">
      <c r="A20" s="80" t="str">
        <f>CONCATENATE("Локальная смета     ",IF(Source!C12="1",Source!F20,Source!G20))</f>
        <v>Локальная смета     Новая локальная смета</v>
      </c>
      <c r="B20" s="81"/>
      <c r="C20" s="81"/>
      <c r="D20" s="81"/>
      <c r="E20" s="82"/>
      <c r="AA20" s="64" t="str">
        <f>CONCATENATE("Локальная смета     ",IF(Source!C12="1",Source!F20,Source!G20))</f>
        <v>Локальная смета     Новая локальная смета</v>
      </c>
    </row>
    <row r="21" spans="1:27" ht="15.75">
      <c r="A21" s="80" t="str">
        <f>CONCATENATE("Раздел   ",IF(Source!C12="1",Source!F24,Source!G24))</f>
        <v>Раздел   Внутридворовая территория около д. 35</v>
      </c>
      <c r="B21" s="81"/>
      <c r="C21" s="81"/>
      <c r="D21" s="81"/>
      <c r="E21" s="82"/>
      <c r="AA21" s="64" t="str">
        <f>CONCATENATE("Раздел   ",IF(Source!C12="1",Source!F24,Source!G24))</f>
        <v>Раздел   Внутридворовая территория около д. 35</v>
      </c>
    </row>
    <row r="22" spans="1:5" ht="28.5">
      <c r="A22" s="65" t="str">
        <f>Source!E28</f>
        <v>1</v>
      </c>
      <c r="B22" s="67" t="str">
        <f>Source!G28</f>
        <v>Валка деревьев с корня без корчевки пня мягколиственных и твердолиственных пород при диаметре ствола: до 48 см</v>
      </c>
      <c r="C22" s="69" t="str">
        <f>Source!H28</f>
        <v>шт.</v>
      </c>
      <c r="D22" s="71">
        <f>Source!I28</f>
        <v>6</v>
      </c>
      <c r="E22" s="74"/>
    </row>
    <row r="23" spans="1:5" ht="14.25">
      <c r="A23" s="65" t="str">
        <f>Source!E29</f>
        <v>2</v>
      </c>
      <c r="B23" s="67" t="str">
        <f>Source!G29</f>
        <v>Формовочная обрезка деревьев высотой: более 5 м</v>
      </c>
      <c r="C23" s="69" t="str">
        <f>Source!H29</f>
        <v>шт.</v>
      </c>
      <c r="D23" s="71">
        <f>Source!I29</f>
        <v>22</v>
      </c>
      <c r="E23" s="74"/>
    </row>
    <row r="24" spans="1:5" ht="14.25">
      <c r="A24" s="65" t="str">
        <f>Source!E30</f>
        <v>3</v>
      </c>
      <c r="B24" s="67" t="str">
        <f>Source!G30</f>
        <v>Вырезка кустарника</v>
      </c>
      <c r="C24" s="69" t="str">
        <f>Source!H30</f>
        <v>шт.</v>
      </c>
      <c r="D24" s="71">
        <f>Source!I30</f>
        <v>19</v>
      </c>
      <c r="E24" s="74"/>
    </row>
    <row r="25" spans="1:5" ht="14.25">
      <c r="A25" s="65" t="str">
        <f>Source!E31</f>
        <v>4</v>
      </c>
      <c r="B25" s="67" t="str">
        <f>Source!G31</f>
        <v>Погрузка  вручную</v>
      </c>
      <c r="C25" s="69" t="str">
        <f>Source!H31</f>
        <v>т</v>
      </c>
      <c r="D25" s="71">
        <f>Source!I31</f>
        <v>1.5</v>
      </c>
      <c r="E25" s="74"/>
    </row>
    <row r="26" spans="1:5" ht="14.25">
      <c r="A26" s="65" t="str">
        <f>Source!E32</f>
        <v>5</v>
      </c>
      <c r="B26" s="67" t="str">
        <f>Source!G32</f>
        <v>Вывоз мусора на 10 км</v>
      </c>
      <c r="C26" s="69" t="str">
        <f>Source!H32</f>
        <v>т</v>
      </c>
      <c r="D26" s="71">
        <f>Source!I32</f>
        <v>1.5</v>
      </c>
      <c r="E26" s="74"/>
    </row>
    <row r="27" spans="1:5" ht="28.5">
      <c r="A27" s="65" t="str">
        <f>Source!E33</f>
        <v>6</v>
      </c>
      <c r="B27" s="67" t="str">
        <f>Source!G33</f>
        <v>Омоложение живых изгородей: мягких с обрезкой побегов на пень до 100 %</v>
      </c>
      <c r="C27" s="69" t="str">
        <f>Source!H33</f>
        <v>м</v>
      </c>
      <c r="D27" s="71">
        <f>Source!I33</f>
        <v>199</v>
      </c>
      <c r="E27" s="74"/>
    </row>
    <row r="28" spans="1:5" ht="14.25">
      <c r="A28" s="65" t="str">
        <f>Source!E34</f>
        <v>7</v>
      </c>
      <c r="B28" s="67" t="str">
        <f>Source!G34</f>
        <v>Демонтаж столбов</v>
      </c>
      <c r="C28" s="69" t="str">
        <f>Source!H34</f>
        <v>100 шт.</v>
      </c>
      <c r="D28" s="71">
        <f>Source!I34</f>
        <v>0.08</v>
      </c>
      <c r="E28" s="74"/>
    </row>
    <row r="29" spans="1:5" ht="14.25">
      <c r="A29" s="65" t="str">
        <f>Source!E35</f>
        <v>8</v>
      </c>
      <c r="B29" s="67" t="str">
        <f>Source!G35</f>
        <v>Выкашивание газонов: газонокосилкой</v>
      </c>
      <c r="C29" s="69" t="str">
        <f>Source!H35</f>
        <v>100 м2</v>
      </c>
      <c r="D29" s="71">
        <f>Source!I35</f>
        <v>35</v>
      </c>
      <c r="E29" s="74"/>
    </row>
    <row r="30" spans="1:5" ht="28.5">
      <c r="A30" s="65" t="str">
        <f>Source!E36</f>
        <v>9</v>
      </c>
      <c r="B30" s="67" t="str">
        <f>Source!G36</f>
        <v>Разработка грунта с перемещением до 10 м бульдозерами мощностью 59 кВт (80 л.с.), группа грунтов 2</v>
      </c>
      <c r="C30" s="69" t="str">
        <f>Source!H36</f>
        <v>1000 м3</v>
      </c>
      <c r="D30" s="71">
        <f>Source!I36</f>
        <v>0.019</v>
      </c>
      <c r="E30" s="74"/>
    </row>
    <row r="31" spans="1:5" ht="28.5">
      <c r="A31" s="65" t="str">
        <f>Source!E37</f>
        <v>10</v>
      </c>
      <c r="B31" s="67" t="str">
        <f>Source!G37</f>
        <v>Погрузка на автомобили-самосвалы экскаваторами с ковшом вместимостью 0,65 (0,5-1) м3, группа грунтов 2</v>
      </c>
      <c r="C31" s="69" t="str">
        <f>Source!H37</f>
        <v>1000 м3</v>
      </c>
      <c r="D31" s="71">
        <f>Source!I37</f>
        <v>0.019</v>
      </c>
      <c r="E31" s="74"/>
    </row>
    <row r="32" spans="1:5" ht="14.25">
      <c r="A32" s="65" t="str">
        <f>Source!E38</f>
        <v>11</v>
      </c>
      <c r="B32" s="67" t="str">
        <f>Source!G38</f>
        <v>Вывоз грунта на 10 км</v>
      </c>
      <c r="C32" s="69" t="str">
        <f>Source!H38</f>
        <v>т</v>
      </c>
      <c r="D32" s="71">
        <f>Source!I38</f>
        <v>2.8</v>
      </c>
      <c r="E32" s="74"/>
    </row>
    <row r="33" spans="1:5" ht="28.5">
      <c r="A33" s="65" t="str">
        <f>Source!E39</f>
        <v>12</v>
      </c>
      <c r="B33" s="67" t="str">
        <f>Source!G39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C33" s="69" t="str">
        <f>Source!H39</f>
        <v>100 м2</v>
      </c>
      <c r="D33" s="71">
        <f>Source!I39</f>
        <v>0.9</v>
      </c>
      <c r="E33" s="74"/>
    </row>
    <row r="34" spans="1:5" ht="14.25">
      <c r="A34" s="65" t="str">
        <f>Source!E40</f>
        <v>12,1</v>
      </c>
      <c r="B34" s="67" t="str">
        <f>Source!G40</f>
        <v>Земля растительная механизированной заготовки</v>
      </c>
      <c r="C34" s="69" t="str">
        <f>Source!H40</f>
        <v>м3</v>
      </c>
      <c r="D34" s="71">
        <f>Source!I40</f>
        <v>-13.5</v>
      </c>
      <c r="E34" s="74"/>
    </row>
    <row r="35" spans="1:5" ht="14.25">
      <c r="A35" s="65" t="str">
        <f>Source!E41</f>
        <v>12,2</v>
      </c>
      <c r="B35" s="67" t="str">
        <f>Source!G41</f>
        <v>Земля растительная механизированной заготовки</v>
      </c>
      <c r="C35" s="69" t="str">
        <f>Source!H41</f>
        <v>м3</v>
      </c>
      <c r="D35" s="71">
        <f>Source!I41</f>
        <v>4.5</v>
      </c>
      <c r="E35" s="74"/>
    </row>
    <row r="36" spans="1:5" ht="14.25">
      <c r="A36" s="65" t="str">
        <f>Source!E42</f>
        <v>12,3</v>
      </c>
      <c r="B36" s="67" t="str">
        <f>Source!G42</f>
        <v>Песок природный для строительных работ средний</v>
      </c>
      <c r="C36" s="69" t="str">
        <f>Source!H42</f>
        <v>м3</v>
      </c>
      <c r="D36" s="71">
        <f>Source!I42</f>
        <v>4.5</v>
      </c>
      <c r="E36" s="74"/>
    </row>
    <row r="37" spans="1:27" ht="15.75">
      <c r="A37" s="80" t="str">
        <f>CONCATENATE("Раздел   ",IF(Source!C12="1",Source!F60,Source!G60))</f>
        <v>Раздел   Внутридворовая территория около д. 37</v>
      </c>
      <c r="B37" s="81"/>
      <c r="C37" s="81"/>
      <c r="D37" s="81"/>
      <c r="E37" s="82"/>
      <c r="AA37" s="64" t="str">
        <f>CONCATENATE("Раздел   ",IF(Source!C12="1",Source!F60,Source!G60))</f>
        <v>Раздел   Внутридворовая территория около д. 37</v>
      </c>
    </row>
    <row r="38" spans="1:5" ht="14.25">
      <c r="A38" s="65" t="str">
        <f>Source!E64</f>
        <v>13</v>
      </c>
      <c r="B38" s="67" t="str">
        <f>Source!G64</f>
        <v>Вырезка кустарника</v>
      </c>
      <c r="C38" s="69" t="str">
        <f>Source!H64</f>
        <v>шт.</v>
      </c>
      <c r="D38" s="71">
        <f>Source!I64</f>
        <v>38</v>
      </c>
      <c r="E38" s="74"/>
    </row>
    <row r="39" spans="1:5" ht="28.5">
      <c r="A39" s="65" t="str">
        <f>Source!E65</f>
        <v>14</v>
      </c>
      <c r="B39" s="67" t="str">
        <f>Source!G65</f>
        <v>Омоложение живых изгородей: мягких с обрезкой побегов на пень до 100 %</v>
      </c>
      <c r="C39" s="69" t="str">
        <f>Source!H65</f>
        <v>м</v>
      </c>
      <c r="D39" s="71">
        <f>Source!I65</f>
        <v>94</v>
      </c>
      <c r="E39" s="74"/>
    </row>
    <row r="40" spans="1:5" ht="14.25">
      <c r="A40" s="65" t="str">
        <f>Source!E66</f>
        <v>15</v>
      </c>
      <c r="B40" s="67" t="str">
        <f>Source!G66</f>
        <v>Демонтаж столбов</v>
      </c>
      <c r="C40" s="69" t="str">
        <f>Source!H66</f>
        <v>100 шт.</v>
      </c>
      <c r="D40" s="71">
        <f>Source!I66</f>
        <v>0.02</v>
      </c>
      <c r="E40" s="74"/>
    </row>
    <row r="41" spans="1:5" ht="14.25">
      <c r="A41" s="65" t="str">
        <f>Source!E67</f>
        <v>16</v>
      </c>
      <c r="B41" s="67" t="str">
        <f>Source!G67</f>
        <v>Выкашивание газонов: газонокосилкой</v>
      </c>
      <c r="C41" s="69" t="str">
        <f>Source!H67</f>
        <v>100 м2</v>
      </c>
      <c r="D41" s="71">
        <f>Source!I67</f>
        <v>42.3</v>
      </c>
      <c r="E41" s="74"/>
    </row>
    <row r="42" spans="1:5" ht="14.25">
      <c r="A42" s="65" t="str">
        <f>Source!E68</f>
        <v>17</v>
      </c>
      <c r="B42" s="67" t="str">
        <f>Source!G68</f>
        <v>Погрузка  вручную</v>
      </c>
      <c r="C42" s="69" t="str">
        <f>Source!H68</f>
        <v>т</v>
      </c>
      <c r="D42" s="71">
        <f>Source!I68</f>
        <v>0.1</v>
      </c>
      <c r="E42" s="74"/>
    </row>
    <row r="43" spans="1:5" ht="14.25">
      <c r="A43" s="65" t="str">
        <f>Source!E69</f>
        <v>18</v>
      </c>
      <c r="B43" s="67" t="str">
        <f>Source!G69</f>
        <v>Вывоз мусора на 10 км</v>
      </c>
      <c r="C43" s="69" t="str">
        <f>Source!H69</f>
        <v>т</v>
      </c>
      <c r="D43" s="71">
        <f>Source!I69</f>
        <v>0.1</v>
      </c>
      <c r="E43" s="74"/>
    </row>
    <row r="44" spans="1:5" ht="28.5">
      <c r="A44" s="65" t="str">
        <f>Source!E70</f>
        <v>19</v>
      </c>
      <c r="B44" s="67" t="str">
        <f>Source!G70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C44" s="69" t="str">
        <f>Source!H70</f>
        <v>100 м2</v>
      </c>
      <c r="D44" s="71">
        <f>Source!I70</f>
        <v>0.065</v>
      </c>
      <c r="E44" s="74"/>
    </row>
    <row r="45" spans="1:5" ht="14.25">
      <c r="A45" s="65" t="str">
        <f>Source!E71</f>
        <v>19,1</v>
      </c>
      <c r="B45" s="67" t="str">
        <f>Source!G71</f>
        <v>Земля растительная механизированной заготовки</v>
      </c>
      <c r="C45" s="69" t="str">
        <f>Source!H71</f>
        <v>м3</v>
      </c>
      <c r="D45" s="71">
        <f>Source!I71</f>
        <v>-0.9750000000000001</v>
      </c>
      <c r="E45" s="74"/>
    </row>
    <row r="46" spans="1:5" ht="14.25">
      <c r="A46" s="65" t="str">
        <f>Source!E72</f>
        <v>19,2</v>
      </c>
      <c r="B46" s="67" t="str">
        <f>Source!G72</f>
        <v>Земля растительная механизированной заготовки</v>
      </c>
      <c r="C46" s="69" t="str">
        <f>Source!H72</f>
        <v>м3</v>
      </c>
      <c r="D46" s="71">
        <f>Source!I72</f>
        <v>0.325</v>
      </c>
      <c r="E46" s="74"/>
    </row>
    <row r="47" spans="1:5" ht="14.25">
      <c r="A47" s="65" t="str">
        <f>Source!E73</f>
        <v>19,3</v>
      </c>
      <c r="B47" s="67" t="str">
        <f>Source!G73</f>
        <v>Песок природный для строительных работ средний</v>
      </c>
      <c r="C47" s="69" t="str">
        <f>Source!H73</f>
        <v>м3</v>
      </c>
      <c r="D47" s="71">
        <f>Source!I73</f>
        <v>0.325</v>
      </c>
      <c r="E47" s="74"/>
    </row>
    <row r="48" spans="1:27" ht="15.75">
      <c r="A48" s="80" t="str">
        <f>CONCATENATE("Раздел   ",IF(Source!C12="1",Source!F91,Source!G91))</f>
        <v>Раздел   Внутридворовая территория около д. 41</v>
      </c>
      <c r="B48" s="81"/>
      <c r="C48" s="81"/>
      <c r="D48" s="81"/>
      <c r="E48" s="82"/>
      <c r="AA48" s="64" t="str">
        <f>CONCATENATE("Раздел   ",IF(Source!C12="1",Source!F91,Source!G91))</f>
        <v>Раздел   Внутридворовая территория около д. 41</v>
      </c>
    </row>
    <row r="49" spans="1:5" ht="14.25">
      <c r="A49" s="65" t="str">
        <f>Source!E95</f>
        <v>20</v>
      </c>
      <c r="B49" s="67" t="str">
        <f>Source!G95</f>
        <v>Формовочная обрезка деревьев высотой: более 5 м</v>
      </c>
      <c r="C49" s="69" t="str">
        <f>Source!H95</f>
        <v>шт.</v>
      </c>
      <c r="D49" s="71">
        <f>Source!I95</f>
        <v>8</v>
      </c>
      <c r="E49" s="74"/>
    </row>
    <row r="50" spans="1:5" ht="14.25">
      <c r="A50" s="65" t="str">
        <f>Source!E96</f>
        <v>21</v>
      </c>
      <c r="B50" s="67" t="str">
        <f>Source!G96</f>
        <v>Погрузка  вручную</v>
      </c>
      <c r="C50" s="69" t="str">
        <f>Source!H96</f>
        <v>т</v>
      </c>
      <c r="D50" s="71">
        <f>Source!I96</f>
        <v>0.1</v>
      </c>
      <c r="E50" s="74"/>
    </row>
    <row r="51" spans="1:5" ht="14.25">
      <c r="A51" s="65" t="str">
        <f>Source!E97</f>
        <v>22</v>
      </c>
      <c r="B51" s="67" t="str">
        <f>Source!G97</f>
        <v>Вывоз мусора на 10 км</v>
      </c>
      <c r="C51" s="69" t="str">
        <f>Source!H97</f>
        <v>т</v>
      </c>
      <c r="D51" s="71">
        <f>Source!I97</f>
        <v>0.1</v>
      </c>
      <c r="E51" s="74"/>
    </row>
    <row r="52" spans="1:5" ht="28.5">
      <c r="A52" s="65" t="str">
        <f>Source!E98</f>
        <v>23</v>
      </c>
      <c r="B52" s="67" t="str">
        <f>Source!G98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C52" s="69" t="str">
        <f>Source!H98</f>
        <v>100 м2</v>
      </c>
      <c r="D52" s="71">
        <f>Source!I98</f>
        <v>3.1</v>
      </c>
      <c r="E52" s="74"/>
    </row>
    <row r="53" spans="1:5" ht="14.25">
      <c r="A53" s="65" t="str">
        <f>Source!E99</f>
        <v>23,1</v>
      </c>
      <c r="B53" s="67" t="str">
        <f>Source!G99</f>
        <v>Земля растительная механизированной заготовки</v>
      </c>
      <c r="C53" s="69" t="str">
        <f>Source!H99</f>
        <v>м3</v>
      </c>
      <c r="D53" s="71">
        <f>Source!I99</f>
        <v>-46.5</v>
      </c>
      <c r="E53" s="74"/>
    </row>
    <row r="54" spans="1:5" ht="14.25">
      <c r="A54" s="65" t="str">
        <f>Source!E100</f>
        <v>23,2</v>
      </c>
      <c r="B54" s="67" t="str">
        <f>Source!G100</f>
        <v>Земля растительная механизированной заготовки</v>
      </c>
      <c r="C54" s="69" t="str">
        <f>Source!H100</f>
        <v>м3</v>
      </c>
      <c r="D54" s="71">
        <f>Source!I100</f>
        <v>15.5</v>
      </c>
      <c r="E54" s="74"/>
    </row>
    <row r="55" spans="1:5" ht="14.25">
      <c r="A55" s="65" t="str">
        <f>Source!E101</f>
        <v>23,3</v>
      </c>
      <c r="B55" s="67" t="str">
        <f>Source!G101</f>
        <v>Песок природный для строительных работ средний</v>
      </c>
      <c r="C55" s="69" t="str">
        <f>Source!H101</f>
        <v>м3</v>
      </c>
      <c r="D55" s="71">
        <f>Source!I101</f>
        <v>15.5</v>
      </c>
      <c r="E55" s="74"/>
    </row>
    <row r="56" spans="1:27" ht="15.75">
      <c r="A56" s="80" t="str">
        <f>CONCATENATE("Раздел   ",IF(Source!C12="1",Source!F119,Source!G119))</f>
        <v>Раздел   Внутридворовая территория около д. 35а</v>
      </c>
      <c r="B56" s="81"/>
      <c r="C56" s="81"/>
      <c r="D56" s="81"/>
      <c r="E56" s="82"/>
      <c r="AA56" s="64" t="str">
        <f>CONCATENATE("Раздел   ",IF(Source!C12="1",Source!F119,Source!G119))</f>
        <v>Раздел   Внутридворовая территория около д. 35а</v>
      </c>
    </row>
    <row r="57" spans="1:5" ht="28.5">
      <c r="A57" s="65" t="str">
        <f>Source!E123</f>
        <v>24</v>
      </c>
      <c r="B57" s="67" t="str">
        <f>Source!G123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C57" s="69" t="str">
        <f>Source!H123</f>
        <v>100 м2</v>
      </c>
      <c r="D57" s="71">
        <f>Source!I123</f>
        <v>4.07</v>
      </c>
      <c r="E57" s="74"/>
    </row>
    <row r="58" spans="1:5" ht="14.25">
      <c r="A58" s="65" t="str">
        <f>Source!E124</f>
        <v>24,1</v>
      </c>
      <c r="B58" s="67" t="str">
        <f>Source!G124</f>
        <v>Земля растительная механизированной заготовки</v>
      </c>
      <c r="C58" s="69" t="str">
        <f>Source!H124</f>
        <v>м3</v>
      </c>
      <c r="D58" s="71">
        <f>Source!I124</f>
        <v>-61.050000000000004</v>
      </c>
      <c r="E58" s="74"/>
    </row>
    <row r="59" spans="1:5" ht="14.25">
      <c r="A59" s="65" t="str">
        <f>Source!E125</f>
        <v>24,2</v>
      </c>
      <c r="B59" s="67" t="str">
        <f>Source!G125</f>
        <v>Земля растительная механизированной заготовки</v>
      </c>
      <c r="C59" s="69" t="str">
        <f>Source!H125</f>
        <v>м3</v>
      </c>
      <c r="D59" s="71">
        <f>Source!I125</f>
        <v>20.35</v>
      </c>
      <c r="E59" s="74"/>
    </row>
    <row r="60" spans="1:5" ht="14.25">
      <c r="A60" s="65" t="str">
        <f>Source!E126</f>
        <v>24,3</v>
      </c>
      <c r="B60" s="67" t="str">
        <f>Source!G126</f>
        <v>Песок природный для строительных работ средний</v>
      </c>
      <c r="C60" s="69" t="str">
        <f>Source!H126</f>
        <v>м3</v>
      </c>
      <c r="D60" s="71">
        <f>Source!I126</f>
        <v>20.35</v>
      </c>
      <c r="E60" s="74"/>
    </row>
    <row r="61" spans="1:5" ht="14.25">
      <c r="A61" s="65" t="str">
        <f>Source!E127</f>
        <v>25</v>
      </c>
      <c r="B61" s="67" t="str">
        <f>Source!G127</f>
        <v>Прим. Установка металлических столбов</v>
      </c>
      <c r="C61" s="69" t="str">
        <f>Source!H127</f>
        <v>100 шт.</v>
      </c>
      <c r="D61" s="71">
        <f>Source!I127</f>
        <v>0.12</v>
      </c>
      <c r="E61" s="74"/>
    </row>
    <row r="62" spans="1:5" ht="42.75">
      <c r="A62" s="65" t="str">
        <f>Source!E128</f>
        <v>25,1</v>
      </c>
      <c r="B62" s="67" t="str">
        <f>Source!G128</f>
        <v>Трубы стальные электросварные прямошовные со снятой фаской из стали марок БСт2кп-БСт4кп и БСт2пс-БСт4пс наружный диаметр 108 мм, толщина стенки 3,5 мм</v>
      </c>
      <c r="C62" s="69" t="str">
        <f>Source!H128</f>
        <v>м</v>
      </c>
      <c r="D62" s="71">
        <f>Source!I128</f>
        <v>18</v>
      </c>
      <c r="E62" s="74"/>
    </row>
    <row r="63" spans="1:5" ht="14.25">
      <c r="A63" s="65" t="str">
        <f>Source!E129</f>
        <v>26</v>
      </c>
      <c r="B63" s="67" t="str">
        <f>Source!G129</f>
        <v>Монтаж связей из трубы</v>
      </c>
      <c r="C63" s="69" t="str">
        <f>Source!H129</f>
        <v>т</v>
      </c>
      <c r="D63" s="71">
        <f>Source!I129</f>
        <v>0.164</v>
      </c>
      <c r="E63" s="74"/>
    </row>
    <row r="64" spans="1:5" ht="42.75">
      <c r="A64" s="65" t="str">
        <f>Source!E130</f>
        <v>26,1</v>
      </c>
      <c r="B64" s="67" t="str">
        <f>Source!G130</f>
        <v>Трубы стальные электросварные прямошовные со снятой фаской из стали марок БСт2кп-БСт4кп и БСт2пс-БСт4пс наружный диаметр 108 мм, толщина стенки 3,5 мм</v>
      </c>
      <c r="C64" s="69" t="str">
        <f>Source!H130</f>
        <v>м</v>
      </c>
      <c r="D64" s="71">
        <f>Source!I130</f>
        <v>16</v>
      </c>
      <c r="E64" s="74"/>
    </row>
    <row r="65" spans="1:5" ht="14.25">
      <c r="A65" s="65" t="str">
        <f>Source!E131</f>
        <v>27</v>
      </c>
      <c r="B65" s="67" t="str">
        <f>Source!G131</f>
        <v>Огрунтовка металлических поверхностей за один раз грунтовкой ГФ-021</v>
      </c>
      <c r="C65" s="69" t="str">
        <f>Source!H131</f>
        <v>100 м2</v>
      </c>
      <c r="D65" s="71">
        <f>Source!I131</f>
        <v>0.106</v>
      </c>
      <c r="E65" s="74"/>
    </row>
    <row r="66" spans="1:5" ht="14.25">
      <c r="A66" s="66" t="str">
        <f>Source!E132</f>
        <v>28</v>
      </c>
      <c r="B66" s="68" t="str">
        <f>Source!G132</f>
        <v>Окраска металлических огрунтованных поверхностей эмалью ПФ-115</v>
      </c>
      <c r="C66" s="70" t="str">
        <f>Source!H132</f>
        <v>100 м2</v>
      </c>
      <c r="D66" s="72">
        <f>Source!I132</f>
        <v>0.106</v>
      </c>
      <c r="E66" s="73"/>
    </row>
    <row r="70" spans="1:3" s="39" customFormat="1" ht="15.75">
      <c r="A70" s="39" t="s">
        <v>477</v>
      </c>
      <c r="C70" s="39" t="s">
        <v>478</v>
      </c>
    </row>
  </sheetData>
  <sheetProtection/>
  <mergeCells count="6">
    <mergeCell ref="A48:E48"/>
    <mergeCell ref="A56:E56"/>
    <mergeCell ref="A1:E1"/>
    <mergeCell ref="A20:E20"/>
    <mergeCell ref="A21:E21"/>
    <mergeCell ref="A37:E37"/>
  </mergeCells>
  <printOptions/>
  <pageMargins left="0.6" right="0.196850393700787" top="0.4" bottom="0.393700787401575" header="0.11811023622047198" footer="0.11811023622047198"/>
  <pageSetup horizontalDpi="600" verticalDpi="600" orientation="portrait" paperSize="9" scale="67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2"/>
  <sheetViews>
    <sheetView zoomScale="141" zoomScaleNormal="141" zoomScalePageLayoutView="0" workbookViewId="0" topLeftCell="A1">
      <selection activeCell="A1" sqref="A1:L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1.140625" style="0" bestFit="1" customWidth="1"/>
    <col min="7" max="7" width="11.28125" style="0" customWidth="1"/>
    <col min="8" max="8" width="11.140625" style="0" bestFit="1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90.7109375" style="0" hidden="1" customWidth="1"/>
    <col min="31" max="31" width="0" style="0" hidden="1" customWidth="1"/>
  </cols>
  <sheetData>
    <row r="1" spans="1:12" ht="12.75">
      <c r="A1" s="110" t="str">
        <f>Source!B1</f>
        <v>Smeta.ru  (495) 974-1589</v>
      </c>
      <c r="B1" s="110"/>
      <c r="C1" s="110"/>
      <c r="D1" s="110"/>
      <c r="H1" s="111" t="s">
        <v>441</v>
      </c>
      <c r="I1" s="111"/>
      <c r="J1" s="111"/>
      <c r="K1" s="111"/>
      <c r="L1" s="111"/>
    </row>
    <row r="2" spans="8:12" ht="12.75">
      <c r="H2" s="111" t="s">
        <v>442</v>
      </c>
      <c r="I2" s="111"/>
      <c r="J2" s="111"/>
      <c r="K2" s="111"/>
      <c r="L2" s="111"/>
    </row>
    <row r="3" spans="8:12" ht="12.75">
      <c r="H3" s="111" t="s">
        <v>443</v>
      </c>
      <c r="I3" s="111"/>
      <c r="J3" s="111"/>
      <c r="K3" s="111"/>
      <c r="L3" s="111"/>
    </row>
    <row r="5" spans="11:12" s="14" customFormat="1" ht="15">
      <c r="K5" s="103" t="s">
        <v>444</v>
      </c>
      <c r="L5" s="104"/>
    </row>
    <row r="6" spans="10:12" s="14" customFormat="1" ht="15">
      <c r="J6" s="17" t="s">
        <v>445</v>
      </c>
      <c r="K6" s="107" t="s">
        <v>446</v>
      </c>
      <c r="L6" s="108"/>
    </row>
    <row r="7" spans="1:30" s="14" customFormat="1" ht="15">
      <c r="A7" s="105" t="s">
        <v>447</v>
      </c>
      <c r="B7" s="105"/>
      <c r="C7" s="109"/>
      <c r="D7" s="109"/>
      <c r="E7" s="109"/>
      <c r="F7" s="109"/>
      <c r="G7" s="109"/>
      <c r="H7" s="109"/>
      <c r="I7" s="109"/>
      <c r="J7" s="17" t="s">
        <v>448</v>
      </c>
      <c r="K7" s="103"/>
      <c r="L7" s="104"/>
      <c r="AD7" s="36"/>
    </row>
    <row r="8" spans="1:30" s="14" customFormat="1" ht="15">
      <c r="A8" s="105" t="s">
        <v>449</v>
      </c>
      <c r="B8" s="105"/>
      <c r="C8" s="106" t="str">
        <f>IF(Source!CG12&lt;&gt;"",Source!CG12," ")</f>
        <v> </v>
      </c>
      <c r="D8" s="106"/>
      <c r="E8" s="106"/>
      <c r="F8" s="106"/>
      <c r="G8" s="106"/>
      <c r="H8" s="106"/>
      <c r="I8" s="106"/>
      <c r="J8" s="17" t="s">
        <v>448</v>
      </c>
      <c r="K8" s="103"/>
      <c r="L8" s="104"/>
      <c r="AD8" s="52" t="str">
        <f>IF(Source!CG12&lt;&gt;"",Source!CG12," ")</f>
        <v> </v>
      </c>
    </row>
    <row r="9" spans="1:30" s="14" customFormat="1" ht="15">
      <c r="A9" s="105" t="s">
        <v>450</v>
      </c>
      <c r="B9" s="105"/>
      <c r="C9" s="106" t="str">
        <f>IF(Source!CH12&lt;&gt;"",Source!CH12," ")</f>
        <v> </v>
      </c>
      <c r="D9" s="106"/>
      <c r="E9" s="106"/>
      <c r="F9" s="106"/>
      <c r="G9" s="106"/>
      <c r="H9" s="106"/>
      <c r="I9" s="106"/>
      <c r="J9" s="17" t="s">
        <v>448</v>
      </c>
      <c r="K9" s="103"/>
      <c r="L9" s="104"/>
      <c r="AD9" s="52" t="str">
        <f>IF(Source!CH12&lt;&gt;"",Source!CH12," ")</f>
        <v> </v>
      </c>
    </row>
    <row r="10" spans="1:30" s="14" customFormat="1" ht="15">
      <c r="A10" s="105" t="s">
        <v>451</v>
      </c>
      <c r="B10" s="105"/>
      <c r="C10" s="106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Благоустройство внутридворовой территории</v>
      </c>
      <c r="D10" s="106"/>
      <c r="E10" s="106"/>
      <c r="F10" s="106"/>
      <c r="G10" s="106"/>
      <c r="H10" s="106"/>
      <c r="I10" s="106"/>
      <c r="K10" s="103"/>
      <c r="L10" s="104"/>
      <c r="AD10" s="52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Благоустройство внутридворовой территории</v>
      </c>
    </row>
    <row r="11" spans="1:30" s="14" customFormat="1" ht="15">
      <c r="A11" s="105" t="s">
        <v>452</v>
      </c>
      <c r="B11" s="105"/>
      <c r="C11" s="106" t="str">
        <f>IF(Source!F12&lt;&gt;"",Source!F12,IF(Source!E12&lt;&gt;"",Source!E12," "))</f>
        <v>Новый объект</v>
      </c>
      <c r="D11" s="106"/>
      <c r="E11" s="106"/>
      <c r="F11" s="106"/>
      <c r="G11" s="106"/>
      <c r="H11" s="106"/>
      <c r="I11" s="106"/>
      <c r="K11" s="103"/>
      <c r="L11" s="104"/>
      <c r="AD11" s="52" t="str">
        <f>IF(Source!F12&lt;&gt;"",Source!F12,IF(Source!E12&lt;&gt;"",Source!E12," "))</f>
        <v>Новый объект</v>
      </c>
    </row>
    <row r="12" spans="6:12" s="14" customFormat="1" ht="15">
      <c r="F12" s="102" t="s">
        <v>453</v>
      </c>
      <c r="G12" s="102"/>
      <c r="H12" s="102"/>
      <c r="I12" s="102"/>
      <c r="K12" s="103"/>
      <c r="L12" s="104"/>
    </row>
    <row r="13" spans="6:12" s="14" customFormat="1" ht="15">
      <c r="F13" s="105" t="s">
        <v>454</v>
      </c>
      <c r="G13" s="105"/>
      <c r="H13" s="105"/>
      <c r="I13" s="105"/>
      <c r="J13" s="19" t="s">
        <v>455</v>
      </c>
      <c r="K13" s="103"/>
      <c r="L13" s="104"/>
    </row>
    <row r="14" spans="10:12" s="14" customFormat="1" ht="15">
      <c r="J14" s="24" t="s">
        <v>456</v>
      </c>
      <c r="K14" s="77"/>
      <c r="L14" s="78"/>
    </row>
    <row r="15" spans="11:12" ht="12.75">
      <c r="K15" s="50"/>
      <c r="L15" s="50"/>
    </row>
    <row r="17" spans="6:12" ht="39" customHeight="1">
      <c r="F17" s="95" t="s">
        <v>457</v>
      </c>
      <c r="G17" s="96"/>
      <c r="H17" s="95" t="s">
        <v>458</v>
      </c>
      <c r="I17" s="100"/>
      <c r="K17" s="95" t="s">
        <v>459</v>
      </c>
      <c r="L17" s="100"/>
    </row>
    <row r="18" spans="6:12" ht="15">
      <c r="F18" s="97"/>
      <c r="G18" s="98"/>
      <c r="H18" s="97"/>
      <c r="I18" s="101"/>
      <c r="K18" s="55" t="s">
        <v>460</v>
      </c>
      <c r="L18" s="56" t="s">
        <v>461</v>
      </c>
    </row>
    <row r="19" spans="6:12" ht="15">
      <c r="F19" s="77"/>
      <c r="G19" s="99"/>
      <c r="H19" s="77"/>
      <c r="I19" s="78"/>
      <c r="J19" s="50"/>
      <c r="K19" s="53"/>
      <c r="L19" s="54"/>
    </row>
    <row r="22" spans="1:12" s="46" customFormat="1" ht="18">
      <c r="A22" s="93" t="s">
        <v>462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4" spans="1:12" s="5" customFormat="1" ht="11.25">
      <c r="A24" s="94" t="s">
        <v>463</v>
      </c>
      <c r="B24" s="94"/>
      <c r="C24" s="94"/>
      <c r="D24" s="94"/>
      <c r="E24" s="94"/>
      <c r="F24" s="94"/>
      <c r="G24" s="94"/>
      <c r="H24" s="94"/>
      <c r="I24" s="94"/>
      <c r="J24" s="57">
        <f>IF(AND(Source!P12&lt;&gt;0,Source!Q12&lt;&gt;0),DATE(Source!P12,Source!Q12,1),IF(Source!AF12=0,"",IF(Source!AN12=0,"",DATE(Source!AF12,Source!AN12,1))))</f>
        <v>41061</v>
      </c>
      <c r="K24" s="58">
        <f>IF(AND(Source!P12&lt;&gt;0,Source!Q12&lt;&gt;0),Source!P12,IF(Source!AF12=0,"",Source!AF12))</f>
        <v>2012</v>
      </c>
      <c r="L24" s="59" t="s">
        <v>464</v>
      </c>
    </row>
    <row r="25" spans="1:12" ht="15">
      <c r="A25" s="18"/>
      <c r="B25" s="18"/>
      <c r="C25" s="18"/>
      <c r="D25" s="18"/>
      <c r="E25" s="18"/>
      <c r="F25" s="19" t="s">
        <v>404</v>
      </c>
      <c r="G25" s="19" t="s">
        <v>408</v>
      </c>
      <c r="H25" s="19" t="s">
        <v>412</v>
      </c>
      <c r="I25" s="19" t="s">
        <v>416</v>
      </c>
      <c r="J25" s="19" t="s">
        <v>420</v>
      </c>
      <c r="K25" s="19" t="s">
        <v>412</v>
      </c>
      <c r="L25" s="20" t="s">
        <v>424</v>
      </c>
    </row>
    <row r="26" spans="1:12" ht="15">
      <c r="A26" s="21" t="s">
        <v>392</v>
      </c>
      <c r="B26" s="21" t="s">
        <v>394</v>
      </c>
      <c r="C26" s="22"/>
      <c r="D26" s="21" t="s">
        <v>399</v>
      </c>
      <c r="E26" s="21" t="s">
        <v>402</v>
      </c>
      <c r="F26" s="21" t="s">
        <v>405</v>
      </c>
      <c r="G26" s="21" t="s">
        <v>409</v>
      </c>
      <c r="H26" s="21" t="s">
        <v>413</v>
      </c>
      <c r="I26" s="21" t="s">
        <v>417</v>
      </c>
      <c r="J26" s="21" t="s">
        <v>411</v>
      </c>
      <c r="K26" s="21" t="s">
        <v>421</v>
      </c>
      <c r="L26" s="23" t="s">
        <v>425</v>
      </c>
    </row>
    <row r="27" spans="1:12" ht="15">
      <c r="A27" s="21" t="s">
        <v>393</v>
      </c>
      <c r="B27" s="21" t="s">
        <v>395</v>
      </c>
      <c r="C27" s="21" t="s">
        <v>398</v>
      </c>
      <c r="D27" s="21" t="s">
        <v>400</v>
      </c>
      <c r="E27" s="21" t="s">
        <v>403</v>
      </c>
      <c r="F27" s="21" t="s">
        <v>406</v>
      </c>
      <c r="G27" s="21" t="s">
        <v>410</v>
      </c>
      <c r="H27" s="21" t="s">
        <v>414</v>
      </c>
      <c r="I27" s="21" t="s">
        <v>418</v>
      </c>
      <c r="J27" s="21" t="s">
        <v>418</v>
      </c>
      <c r="K27" s="21" t="s">
        <v>422</v>
      </c>
      <c r="L27" s="23" t="s">
        <v>426</v>
      </c>
    </row>
    <row r="28" spans="1:12" ht="15">
      <c r="A28" s="22"/>
      <c r="B28" s="21" t="s">
        <v>396</v>
      </c>
      <c r="C28" s="22"/>
      <c r="D28" s="21" t="s">
        <v>401</v>
      </c>
      <c r="E28" s="22"/>
      <c r="F28" s="21" t="s">
        <v>407</v>
      </c>
      <c r="G28" s="21" t="s">
        <v>411</v>
      </c>
      <c r="H28" s="21" t="s">
        <v>415</v>
      </c>
      <c r="I28" s="21" t="s">
        <v>419</v>
      </c>
      <c r="J28" s="21" t="s">
        <v>419</v>
      </c>
      <c r="K28" s="21" t="s">
        <v>423</v>
      </c>
      <c r="L28" s="23"/>
    </row>
    <row r="29" spans="1:12" ht="15">
      <c r="A29" s="22"/>
      <c r="B29" s="21" t="s">
        <v>397</v>
      </c>
      <c r="C29" s="22"/>
      <c r="D29" s="22"/>
      <c r="E29" s="22"/>
      <c r="F29" s="22"/>
      <c r="G29" s="21"/>
      <c r="H29" s="21"/>
      <c r="I29" s="21"/>
      <c r="J29" s="21"/>
      <c r="K29" s="21"/>
      <c r="L29" s="23"/>
    </row>
    <row r="30" spans="1:12" ht="15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  <c r="J30" s="24">
        <v>10</v>
      </c>
      <c r="K30" s="24">
        <v>11</v>
      </c>
      <c r="L30" s="25">
        <v>12</v>
      </c>
    </row>
    <row r="31" spans="3:30" ht="18">
      <c r="C31" s="26" t="s">
        <v>427</v>
      </c>
      <c r="D31" s="75" t="str">
        <f>IF(Source!C12="1",Source!F20,Source!G20)</f>
        <v>Новая локальная смета</v>
      </c>
      <c r="E31" s="76"/>
      <c r="F31" s="76"/>
      <c r="G31" s="76"/>
      <c r="H31" s="76"/>
      <c r="I31" s="76"/>
      <c r="J31" s="76"/>
      <c r="K31" s="76"/>
      <c r="L31" s="76"/>
      <c r="AD31" s="27" t="str">
        <f>IF(Source!C12="1",Source!F20,Source!G20)</f>
        <v>Новая локальная смета</v>
      </c>
    </row>
    <row r="33" spans="3:30" ht="18">
      <c r="C33" s="26" t="s">
        <v>428</v>
      </c>
      <c r="D33" s="89" t="str">
        <f>IF(Source!C12="1",Source!F24,Source!G24)</f>
        <v>Внутридворовая территория около д. 35</v>
      </c>
      <c r="E33" s="92"/>
      <c r="F33" s="92"/>
      <c r="G33" s="92"/>
      <c r="H33" s="92"/>
      <c r="I33" s="92"/>
      <c r="J33" s="92"/>
      <c r="K33" s="92"/>
      <c r="L33" s="92"/>
      <c r="AD33" s="28" t="str">
        <f>IF(Source!C12="1",Source!F24,Source!G24)</f>
        <v>Внутридворовая территория около д. 35</v>
      </c>
    </row>
    <row r="35" spans="1:12" ht="60">
      <c r="A35" s="29" t="str">
        <f>Source!E28</f>
        <v>1</v>
      </c>
      <c r="B35" s="29" t="str">
        <f>Source!F28</f>
        <v>68-33-4</v>
      </c>
      <c r="C35" s="30" t="str">
        <f>Source!G28</f>
        <v>Валка деревьев с корня без корчевки пня мягколиственных и твердолиственных пород при диаметре ствола: до 48 см</v>
      </c>
      <c r="D35" s="31" t="str">
        <f>Source!H28</f>
        <v>шт.</v>
      </c>
      <c r="E35" s="14">
        <f>ROUND(Source!I28,6)</f>
        <v>6</v>
      </c>
      <c r="F35" s="16">
        <f>IF(Source!AK28&lt;&gt;0,Source!AK28,Source!AL28+Source!AM28+Source!AO28)</f>
        <v>153.97</v>
      </c>
      <c r="G35" s="14"/>
      <c r="H35" s="14"/>
      <c r="I35" s="32" t="str">
        <f>IF(Source!BO28&lt;&gt;"",Source!BO28,"")</f>
        <v>68-33-4</v>
      </c>
      <c r="J35" s="14"/>
      <c r="K35" s="14"/>
      <c r="L35" s="14"/>
    </row>
    <row r="36" spans="1:12" ht="15">
      <c r="A36" s="14"/>
      <c r="B36" s="14"/>
      <c r="C36" s="14" t="s">
        <v>429</v>
      </c>
      <c r="D36" s="14"/>
      <c r="E36" s="14"/>
      <c r="F36" s="16">
        <f>Source!AO28</f>
        <v>120.99</v>
      </c>
      <c r="G36" s="32">
        <f>Source!DG28</f>
      </c>
      <c r="H36" s="16">
        <f>ROUND((Source!CT28/IF(Source!BA28&lt;&gt;0,Source!BA28,1)*Source!I28),2)</f>
        <v>725.94</v>
      </c>
      <c r="I36" s="14"/>
      <c r="J36" s="14">
        <f>Source!BA28</f>
        <v>17.84</v>
      </c>
      <c r="K36" s="16">
        <f>Source!S28</f>
        <v>12950.77</v>
      </c>
      <c r="L36" s="14"/>
    </row>
    <row r="37" spans="1:12" ht="15">
      <c r="A37" s="14"/>
      <c r="B37" s="14"/>
      <c r="C37" s="14" t="s">
        <v>107</v>
      </c>
      <c r="D37" s="14"/>
      <c r="E37" s="14"/>
      <c r="F37" s="16">
        <f>Source!AM28</f>
        <v>32.98</v>
      </c>
      <c r="G37" s="32">
        <f>Source!DE28</f>
      </c>
      <c r="H37" s="16">
        <f>ROUND((Source!CR28/IF(Source!BB28&lt;&gt;0,Source!BB28,1)*Source!I28),2)</f>
        <v>197.88</v>
      </c>
      <c r="I37" s="14"/>
      <c r="J37" s="14">
        <f>Source!BB28</f>
        <v>6.91</v>
      </c>
      <c r="K37" s="16">
        <f>Source!Q28</f>
        <v>1367.35</v>
      </c>
      <c r="L37" s="14"/>
    </row>
    <row r="38" spans="1:24" ht="15">
      <c r="A38" s="14"/>
      <c r="B38" s="14"/>
      <c r="C38" s="14" t="s">
        <v>430</v>
      </c>
      <c r="D38" s="17" t="s">
        <v>431</v>
      </c>
      <c r="E38" s="14"/>
      <c r="F38" s="16">
        <f>Source!BZ28</f>
        <v>104</v>
      </c>
      <c r="G38" s="14"/>
      <c r="H38" s="16">
        <f>X38</f>
        <v>754.98</v>
      </c>
      <c r="I38" s="14" t="str">
        <f>Source!FV28</f>
        <v>((*0.85))</v>
      </c>
      <c r="J38" s="16">
        <f>Source!AT28</f>
        <v>88</v>
      </c>
      <c r="K38" s="16">
        <f>Source!X28</f>
        <v>11396.68</v>
      </c>
      <c r="L38" s="14"/>
      <c r="X38">
        <f>ROUND((Source!FX28/100)*(ROUND((Source!CT28/IF(Source!BA28&lt;&gt;0,Source!BA28,1)*Source!I28),2)+ROUND((Source!CS28/IF(Source!BS28&lt;&gt;0,Source!BS28,1)*Source!I28),2)),2)</f>
        <v>754.98</v>
      </c>
    </row>
    <row r="39" spans="1:25" ht="15">
      <c r="A39" s="14"/>
      <c r="B39" s="14"/>
      <c r="C39" s="14" t="s">
        <v>123</v>
      </c>
      <c r="D39" s="17" t="s">
        <v>431</v>
      </c>
      <c r="E39" s="14"/>
      <c r="F39" s="16">
        <f>Source!CA28</f>
        <v>60</v>
      </c>
      <c r="G39" s="14"/>
      <c r="H39" s="16">
        <f>Y39</f>
        <v>435.56</v>
      </c>
      <c r="I39" s="14" t="str">
        <f>Source!FW28</f>
        <v>((*0.8))</v>
      </c>
      <c r="J39" s="16">
        <f>Source!AU28</f>
        <v>48</v>
      </c>
      <c r="K39" s="16">
        <f>Source!Y28</f>
        <v>6216.37</v>
      </c>
      <c r="L39" s="14"/>
      <c r="Y39">
        <f>ROUND((Source!FY28/100)*(ROUND((Source!CT28/IF(Source!BA28&lt;&gt;0,Source!BA28,1)*Source!I28),2)+ROUND((Source!CS28/IF(Source!BS28&lt;&gt;0,Source!BS28,1)*Source!I28),2)),2)</f>
        <v>435.56</v>
      </c>
    </row>
    <row r="40" spans="1:12" ht="15">
      <c r="A40" s="34"/>
      <c r="B40" s="34"/>
      <c r="C40" s="34" t="s">
        <v>432</v>
      </c>
      <c r="D40" s="35" t="s">
        <v>433</v>
      </c>
      <c r="E40" s="34">
        <f>Source!AQ28</f>
        <v>13.34</v>
      </c>
      <c r="F40" s="34"/>
      <c r="G40" s="36">
        <f>Source!DI28</f>
      </c>
      <c r="H40" s="34"/>
      <c r="I40" s="34"/>
      <c r="J40" s="34"/>
      <c r="K40" s="34"/>
      <c r="L40" s="37">
        <f>Source!U28</f>
        <v>80.03999999999999</v>
      </c>
    </row>
    <row r="41" spans="1:23" ht="15.75">
      <c r="A41" s="14"/>
      <c r="B41" s="14"/>
      <c r="C41" s="14"/>
      <c r="D41" s="14"/>
      <c r="E41" s="14"/>
      <c r="F41" s="14"/>
      <c r="G41" s="14"/>
      <c r="H41" s="38">
        <f>ROUND((Source!CT28/IF(Source!BA28&lt;&gt;0,Source!BA28,1)*Source!I28),2)+ROUND((Source!CR28/IF(Source!BB28&lt;&gt;0,Source!BB28,1)*Source!I28),2)+H38+H39</f>
        <v>2114.36</v>
      </c>
      <c r="I41" s="39"/>
      <c r="J41" s="39"/>
      <c r="K41" s="38">
        <f>Source!S28+Source!Q28+K38+K39</f>
        <v>31931.170000000002</v>
      </c>
      <c r="L41" s="38">
        <f>Source!U28</f>
        <v>80.03999999999999</v>
      </c>
      <c r="M41" s="33">
        <f>H41</f>
        <v>2114.36</v>
      </c>
      <c r="N41">
        <f>ROUND((Source!CT28/IF(Source!BA28&lt;&gt;0,Source!BA28,1)*Source!I28),2)</f>
        <v>725.94</v>
      </c>
      <c r="O41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2114.3616</v>
      </c>
      <c r="P41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41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41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41">
        <f>IF(Source!BI28=1,Source!O28+Source!X28+Source!Y28,0)</f>
        <v>31931.170000000002</v>
      </c>
      <c r="T41">
        <f>IF(Source!BI28=2,Source!O28+Source!X28+Source!Y28,0)</f>
        <v>0</v>
      </c>
      <c r="U41">
        <f>IF(Source!BI28=3,Source!O28+Source!X28+Source!Y28,0)</f>
        <v>0</v>
      </c>
      <c r="V41">
        <f>IF(Source!BI28=4,Source!O28+Source!X28+Source!Y28,0)</f>
        <v>0</v>
      </c>
      <c r="W41">
        <f>ROUND((Source!CS28/IF(Source!BS28&lt;&gt;0,Source!BS28,1)*Source!I28),2)</f>
        <v>0</v>
      </c>
    </row>
    <row r="42" spans="1:12" ht="30">
      <c r="A42" s="29" t="str">
        <f>Source!E29</f>
        <v>2</v>
      </c>
      <c r="B42" s="29" t="str">
        <f>Source!F29</f>
        <v>68-2-2</v>
      </c>
      <c r="C42" s="30" t="str">
        <f>Source!G29</f>
        <v>Формовочная обрезка деревьев высотой: более 5 м</v>
      </c>
      <c r="D42" s="31" t="str">
        <f>Source!H29</f>
        <v>шт.</v>
      </c>
      <c r="E42" s="14">
        <f>ROUND(Source!I29,6)</f>
        <v>22</v>
      </c>
      <c r="F42" s="16">
        <f>IF(Source!AK29&lt;&gt;0,Source!AK29,Source!AL29+Source!AM29+Source!AO29)</f>
        <v>519.71</v>
      </c>
      <c r="G42" s="14"/>
      <c r="H42" s="14"/>
      <c r="I42" s="32" t="str">
        <f>IF(Source!BO29&lt;&gt;"",Source!BO29,"")</f>
        <v>68-2-2</v>
      </c>
      <c r="J42" s="14"/>
      <c r="K42" s="14"/>
      <c r="L42" s="14"/>
    </row>
    <row r="43" spans="1:12" ht="15">
      <c r="A43" s="14"/>
      <c r="B43" s="14"/>
      <c r="C43" s="14" t="s">
        <v>429</v>
      </c>
      <c r="D43" s="14"/>
      <c r="E43" s="14"/>
      <c r="F43" s="16">
        <f>Source!AO29</f>
        <v>17.51</v>
      </c>
      <c r="G43" s="32">
        <f>Source!DG29</f>
      </c>
      <c r="H43" s="16">
        <f>ROUND((Source!CT29/IF(Source!BA29&lt;&gt;0,Source!BA29,1)*Source!I29),2)</f>
        <v>385.22</v>
      </c>
      <c r="I43" s="14"/>
      <c r="J43" s="14">
        <f>Source!BA29</f>
        <v>17.84</v>
      </c>
      <c r="K43" s="16">
        <f>Source!S29</f>
        <v>6872.32</v>
      </c>
      <c r="L43" s="14"/>
    </row>
    <row r="44" spans="1:12" ht="15">
      <c r="A44" s="14"/>
      <c r="B44" s="14"/>
      <c r="C44" s="14" t="s">
        <v>107</v>
      </c>
      <c r="D44" s="14"/>
      <c r="E44" s="14"/>
      <c r="F44" s="16">
        <f>Source!AM29</f>
        <v>502.2</v>
      </c>
      <c r="G44" s="32">
        <f>Source!DE29</f>
      </c>
      <c r="H44" s="16">
        <f>ROUND((Source!CR29/IF(Source!BB29&lt;&gt;0,Source!BB29,1)*Source!I29),2)</f>
        <v>11048.4</v>
      </c>
      <c r="I44" s="14"/>
      <c r="J44" s="14">
        <f>Source!BB29</f>
        <v>7.81</v>
      </c>
      <c r="K44" s="16">
        <f>Source!Q29</f>
        <v>86288</v>
      </c>
      <c r="L44" s="14"/>
    </row>
    <row r="45" spans="1:12" ht="15">
      <c r="A45" s="14"/>
      <c r="B45" s="14"/>
      <c r="C45" s="14" t="s">
        <v>434</v>
      </c>
      <c r="D45" s="14"/>
      <c r="E45" s="14"/>
      <c r="F45" s="16">
        <f>Source!AN29</f>
        <v>28.68</v>
      </c>
      <c r="G45" s="32">
        <f>Source!DF29</f>
      </c>
      <c r="H45" s="40">
        <f>ROUND((Source!CS29/IF(Source!BS29&lt;&gt;0,Source!BS29,1)*Source!I29),2)</f>
        <v>630.96</v>
      </c>
      <c r="I45" s="14"/>
      <c r="J45" s="14">
        <f>Source!BS29</f>
        <v>17.84</v>
      </c>
      <c r="K45" s="40">
        <f>Source!R29</f>
        <v>11256.33</v>
      </c>
      <c r="L45" s="14"/>
    </row>
    <row r="46" spans="1:24" ht="15">
      <c r="A46" s="14"/>
      <c r="B46" s="14"/>
      <c r="C46" s="14" t="s">
        <v>430</v>
      </c>
      <c r="D46" s="17" t="s">
        <v>431</v>
      </c>
      <c r="E46" s="14"/>
      <c r="F46" s="16">
        <f>Source!BZ29</f>
        <v>104</v>
      </c>
      <c r="G46" s="14"/>
      <c r="H46" s="16">
        <f>X46</f>
        <v>1056.83</v>
      </c>
      <c r="I46" s="14" t="str">
        <f>Source!FV29</f>
        <v>((*0.85))</v>
      </c>
      <c r="J46" s="16">
        <f>Source!AT29</f>
        <v>88</v>
      </c>
      <c r="K46" s="16">
        <f>Source!X29</f>
        <v>15953.21</v>
      </c>
      <c r="L46" s="14"/>
      <c r="X46">
        <f>ROUND((Source!FX29/100)*(ROUND((Source!CT29/IF(Source!BA29&lt;&gt;0,Source!BA29,1)*Source!I29),2)+ROUND((Source!CS29/IF(Source!BS29&lt;&gt;0,Source!BS29,1)*Source!I29),2)),2)</f>
        <v>1056.83</v>
      </c>
    </row>
    <row r="47" spans="1:25" ht="15">
      <c r="A47" s="14"/>
      <c r="B47" s="14"/>
      <c r="C47" s="14" t="s">
        <v>123</v>
      </c>
      <c r="D47" s="17" t="s">
        <v>431</v>
      </c>
      <c r="E47" s="14"/>
      <c r="F47" s="16">
        <f>Source!CA29</f>
        <v>60</v>
      </c>
      <c r="G47" s="14"/>
      <c r="H47" s="16">
        <f>Y47</f>
        <v>609.71</v>
      </c>
      <c r="I47" s="14" t="str">
        <f>Source!FW29</f>
        <v>((*0.8))</v>
      </c>
      <c r="J47" s="16">
        <f>Source!AU29</f>
        <v>48</v>
      </c>
      <c r="K47" s="16">
        <f>Source!Y29</f>
        <v>8701.75</v>
      </c>
      <c r="L47" s="14"/>
      <c r="Y47">
        <f>ROUND((Source!FY29/100)*(ROUND((Source!CT29/IF(Source!BA29&lt;&gt;0,Source!BA29,1)*Source!I29),2)+ROUND((Source!CS29/IF(Source!BS29&lt;&gt;0,Source!BS29,1)*Source!I29),2)),2)</f>
        <v>609.71</v>
      </c>
    </row>
    <row r="48" spans="1:12" ht="15">
      <c r="A48" s="34"/>
      <c r="B48" s="34"/>
      <c r="C48" s="34" t="s">
        <v>432</v>
      </c>
      <c r="D48" s="35" t="s">
        <v>433</v>
      </c>
      <c r="E48" s="34">
        <f>Source!AQ29</f>
        <v>2.07</v>
      </c>
      <c r="F48" s="34"/>
      <c r="G48" s="36">
        <f>Source!DI29</f>
      </c>
      <c r="H48" s="34"/>
      <c r="I48" s="34"/>
      <c r="J48" s="34"/>
      <c r="K48" s="34"/>
      <c r="L48" s="37">
        <f>Source!U29</f>
        <v>45.54</v>
      </c>
    </row>
    <row r="49" spans="1:23" ht="15.75">
      <c r="A49" s="14"/>
      <c r="B49" s="14"/>
      <c r="C49" s="14"/>
      <c r="D49" s="14"/>
      <c r="E49" s="14"/>
      <c r="F49" s="14"/>
      <c r="G49" s="14"/>
      <c r="H49" s="38">
        <f>ROUND((Source!CT29/IF(Source!BA29&lt;&gt;0,Source!BA29,1)*Source!I29),2)+ROUND((Source!CR29/IF(Source!BB29&lt;&gt;0,Source!BB29,1)*Source!I29),2)+H46+H47</f>
        <v>13100.16</v>
      </c>
      <c r="I49" s="39"/>
      <c r="J49" s="39"/>
      <c r="K49" s="38">
        <f>Source!S29+Source!Q29+K46+K47</f>
        <v>117815.28</v>
      </c>
      <c r="L49" s="38">
        <f>Source!U29</f>
        <v>45.54</v>
      </c>
      <c r="M49" s="33">
        <f>H49</f>
        <v>13100.16</v>
      </c>
      <c r="N49">
        <f>ROUND((Source!CT29/IF(Source!BA29&lt;&gt;0,Source!BA29,1)*Source!I29),2)</f>
        <v>385.22</v>
      </c>
      <c r="O49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13100.1552</v>
      </c>
      <c r="P49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49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49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49">
        <f>IF(Source!BI29=1,Source!O29+Source!X29+Source!Y29,0)</f>
        <v>117815.28</v>
      </c>
      <c r="T49">
        <f>IF(Source!BI29=2,Source!O29+Source!X29+Source!Y29,0)</f>
        <v>0</v>
      </c>
      <c r="U49">
        <f>IF(Source!BI29=3,Source!O29+Source!X29+Source!Y29,0)</f>
        <v>0</v>
      </c>
      <c r="V49">
        <f>IF(Source!BI29=4,Source!O29+Source!X29+Source!Y29,0)</f>
        <v>0</v>
      </c>
      <c r="W49">
        <f>ROUND((Source!CS29/IF(Source!BS29&lt;&gt;0,Source!BS29,1)*Source!I29),2)</f>
        <v>630.96</v>
      </c>
    </row>
    <row r="50" spans="1:12" ht="15">
      <c r="A50" s="29" t="str">
        <f>Source!E30</f>
        <v>3</v>
      </c>
      <c r="B50" s="29" t="str">
        <f>Source!F30</f>
        <v>68-5-1</v>
      </c>
      <c r="C50" s="30" t="str">
        <f>Source!G30</f>
        <v>Вырезка кустарника</v>
      </c>
      <c r="D50" s="31" t="str">
        <f>Source!H30</f>
        <v>шт.</v>
      </c>
      <c r="E50" s="14">
        <f>ROUND(Source!I30,6)</f>
        <v>19</v>
      </c>
      <c r="F50" s="16">
        <f>IF(Source!AK30&lt;&gt;0,Source!AK30,Source!AL30+Source!AM30+Source!AO30)</f>
        <v>4.48</v>
      </c>
      <c r="G50" s="14"/>
      <c r="H50" s="14"/>
      <c r="I50" s="32" t="str">
        <f>IF(Source!BO30&lt;&gt;"",Source!BO30,"")</f>
        <v>68-5-1</v>
      </c>
      <c r="J50" s="14"/>
      <c r="K50" s="14"/>
      <c r="L50" s="14"/>
    </row>
    <row r="51" spans="1:12" ht="15">
      <c r="A51" s="14"/>
      <c r="B51" s="14"/>
      <c r="C51" s="14" t="s">
        <v>429</v>
      </c>
      <c r="D51" s="14"/>
      <c r="E51" s="14"/>
      <c r="F51" s="16">
        <f>Source!AO30</f>
        <v>4.48</v>
      </c>
      <c r="G51" s="32">
        <f>Source!DG30</f>
      </c>
      <c r="H51" s="16">
        <f>ROUND((Source!CT30/IF(Source!BA30&lt;&gt;0,Source!BA30,1)*Source!I30),2)</f>
        <v>85.12</v>
      </c>
      <c r="I51" s="14"/>
      <c r="J51" s="14">
        <f>Source!BA30</f>
        <v>17.84</v>
      </c>
      <c r="K51" s="16">
        <f>Source!S30</f>
        <v>1518.54</v>
      </c>
      <c r="L51" s="14"/>
    </row>
    <row r="52" spans="1:24" ht="15">
      <c r="A52" s="14"/>
      <c r="B52" s="14"/>
      <c r="C52" s="14" t="s">
        <v>430</v>
      </c>
      <c r="D52" s="17" t="s">
        <v>431</v>
      </c>
      <c r="E52" s="14"/>
      <c r="F52" s="16">
        <f>Source!BZ30</f>
        <v>104</v>
      </c>
      <c r="G52" s="14"/>
      <c r="H52" s="16">
        <f>X52</f>
        <v>88.52</v>
      </c>
      <c r="I52" s="14" t="str">
        <f>Source!FV30</f>
        <v>((*0.85))</v>
      </c>
      <c r="J52" s="16">
        <f>Source!AT30</f>
        <v>88</v>
      </c>
      <c r="K52" s="16">
        <f>Source!X30</f>
        <v>1336.32</v>
      </c>
      <c r="L52" s="14"/>
      <c r="X52">
        <f>ROUND((Source!FX30/100)*(ROUND((Source!CT30/IF(Source!BA30&lt;&gt;0,Source!BA30,1)*Source!I30),2)+ROUND((Source!CS30/IF(Source!BS30&lt;&gt;0,Source!BS30,1)*Source!I30),2)),2)</f>
        <v>88.52</v>
      </c>
    </row>
    <row r="53" spans="1:25" ht="15">
      <c r="A53" s="14"/>
      <c r="B53" s="14"/>
      <c r="C53" s="14" t="s">
        <v>123</v>
      </c>
      <c r="D53" s="17" t="s">
        <v>431</v>
      </c>
      <c r="E53" s="14"/>
      <c r="F53" s="16">
        <f>Source!CA30</f>
        <v>60</v>
      </c>
      <c r="G53" s="14"/>
      <c r="H53" s="16">
        <f>Y53</f>
        <v>51.07</v>
      </c>
      <c r="I53" s="14" t="str">
        <f>Source!FW30</f>
        <v>((*0.8))</v>
      </c>
      <c r="J53" s="16">
        <f>Source!AU30</f>
        <v>48</v>
      </c>
      <c r="K53" s="16">
        <f>Source!Y30</f>
        <v>728.9</v>
      </c>
      <c r="L53" s="14"/>
      <c r="Y53">
        <f>ROUND((Source!FY30/100)*(ROUND((Source!CT30/IF(Source!BA30&lt;&gt;0,Source!BA30,1)*Source!I30),2)+ROUND((Source!CS30/IF(Source!BS30&lt;&gt;0,Source!BS30,1)*Source!I30),2)),2)</f>
        <v>51.07</v>
      </c>
    </row>
    <row r="54" spans="1:12" ht="15">
      <c r="A54" s="34"/>
      <c r="B54" s="34"/>
      <c r="C54" s="34" t="s">
        <v>432</v>
      </c>
      <c r="D54" s="35" t="s">
        <v>433</v>
      </c>
      <c r="E54" s="34">
        <f>Source!AQ30</f>
        <v>0.53</v>
      </c>
      <c r="F54" s="34"/>
      <c r="G54" s="36">
        <f>Source!DI30</f>
      </c>
      <c r="H54" s="34"/>
      <c r="I54" s="34"/>
      <c r="J54" s="34"/>
      <c r="K54" s="34"/>
      <c r="L54" s="37">
        <f>Source!U30</f>
        <v>10.07</v>
      </c>
    </row>
    <row r="55" spans="1:23" ht="15.75">
      <c r="A55" s="14"/>
      <c r="B55" s="14"/>
      <c r="C55" s="14"/>
      <c r="D55" s="14"/>
      <c r="E55" s="14"/>
      <c r="F55" s="14"/>
      <c r="G55" s="14"/>
      <c r="H55" s="38">
        <f>ROUND((Source!CT30/IF(Source!BA30&lt;&gt;0,Source!BA30,1)*Source!I30),2)+ROUND((Source!CR30/IF(Source!BB30&lt;&gt;0,Source!BB30,1)*Source!I30),2)+H52+H53</f>
        <v>224.70999999999998</v>
      </c>
      <c r="I55" s="39"/>
      <c r="J55" s="39"/>
      <c r="K55" s="38">
        <f>Source!S30+Source!Q30+K52+K53</f>
        <v>3583.7599999999998</v>
      </c>
      <c r="L55" s="38">
        <f>Source!U30</f>
        <v>10.07</v>
      </c>
      <c r="M55" s="33">
        <f>H55</f>
        <v>224.70999999999998</v>
      </c>
      <c r="N55">
        <f>ROUND((Source!CT30/IF(Source!BA30&lt;&gt;0,Source!BA30,1)*Source!I30),2)</f>
        <v>85.12</v>
      </c>
      <c r="O55">
        <f>IF(Source!BI30=1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224.71680000000003</v>
      </c>
      <c r="P55">
        <f>IF(Source!BI30=2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Q55">
        <f>IF(Source!BI30=3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R55">
        <f>IF(Source!BI30=4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S55">
        <f>IF(Source!BI30=1,Source!O30+Source!X30+Source!Y30,0)</f>
        <v>3583.7599999999998</v>
      </c>
      <c r="T55">
        <f>IF(Source!BI30=2,Source!O30+Source!X30+Source!Y30,0)</f>
        <v>0</v>
      </c>
      <c r="U55">
        <f>IF(Source!BI30=3,Source!O30+Source!X30+Source!Y30,0)</f>
        <v>0</v>
      </c>
      <c r="V55">
        <f>IF(Source!BI30=4,Source!O30+Source!X30+Source!Y30,0)</f>
        <v>0</v>
      </c>
      <c r="W55">
        <f>ROUND((Source!CS30/IF(Source!BS30&lt;&gt;0,Source!BS30,1)*Source!I30),2)</f>
        <v>0</v>
      </c>
    </row>
    <row r="56" spans="1:12" ht="30">
      <c r="A56" s="29" t="str">
        <f>Source!E31</f>
        <v>4</v>
      </c>
      <c r="B56" s="29" t="str">
        <f>Source!F31</f>
        <v>Техчасть индексов</v>
      </c>
      <c r="C56" s="30" t="str">
        <f>Source!G31</f>
        <v>Погрузка  вручную</v>
      </c>
      <c r="D56" s="31" t="str">
        <f>Source!H31</f>
        <v>т</v>
      </c>
      <c r="E56" s="14">
        <f>ROUND(Source!I31,6)</f>
        <v>1.5</v>
      </c>
      <c r="F56" s="16">
        <f>IF(Source!AK31&lt;&gt;0,Source!AK31,Source!AL31+Source!AM31+Source!AO31)</f>
        <v>4.15</v>
      </c>
      <c r="G56" s="14"/>
      <c r="H56" s="14"/>
      <c r="I56" s="32">
        <f>IF(Source!BO31&lt;&gt;"",Source!BO31,"")</f>
      </c>
      <c r="J56" s="14"/>
      <c r="K56" s="14"/>
      <c r="L56" s="14"/>
    </row>
    <row r="57" spans="1:12" ht="15">
      <c r="A57" s="14"/>
      <c r="B57" s="14"/>
      <c r="C57" s="14" t="s">
        <v>429</v>
      </c>
      <c r="D57" s="14"/>
      <c r="E57" s="14"/>
      <c r="F57" s="16">
        <f>Source!AO31</f>
        <v>4.15</v>
      </c>
      <c r="G57" s="32">
        <f>Source!DG31</f>
      </c>
      <c r="H57" s="16">
        <f>ROUND((Source!CT31/IF(Source!BA31&lt;&gt;0,Source!BA31,1)*Source!I31),2)</f>
        <v>6.23</v>
      </c>
      <c r="I57" s="14"/>
      <c r="J57" s="14">
        <f>Source!BA31</f>
        <v>17.84</v>
      </c>
      <c r="K57" s="16">
        <f>Source!S31</f>
        <v>111.05</v>
      </c>
      <c r="L57" s="14"/>
    </row>
    <row r="58" spans="1:24" ht="15">
      <c r="A58" s="14"/>
      <c r="B58" s="14"/>
      <c r="C58" s="14" t="s">
        <v>430</v>
      </c>
      <c r="D58" s="17" t="s">
        <v>431</v>
      </c>
      <c r="E58" s="14"/>
      <c r="F58" s="16">
        <f>Source!BZ31</f>
        <v>100</v>
      </c>
      <c r="G58" s="14"/>
      <c r="H58" s="16">
        <f>X58</f>
        <v>6.23</v>
      </c>
      <c r="I58" s="14" t="str">
        <f>Source!FV31</f>
        <v>((*0.85))</v>
      </c>
      <c r="J58" s="16">
        <f>Source!AT31</f>
        <v>85</v>
      </c>
      <c r="K58" s="16">
        <f>Source!X31</f>
        <v>94.39</v>
      </c>
      <c r="L58" s="14"/>
      <c r="X58">
        <f>ROUND((Source!FX31/100)*(ROUND((Source!CT31/IF(Source!BA31&lt;&gt;0,Source!BA31,1)*Source!I31),2)+ROUND((Source!CS31/IF(Source!BS31&lt;&gt;0,Source!BS31,1)*Source!I31),2)),2)</f>
        <v>6.23</v>
      </c>
    </row>
    <row r="59" spans="1:25" ht="15">
      <c r="A59" s="34"/>
      <c r="B59" s="34"/>
      <c r="C59" s="34" t="s">
        <v>123</v>
      </c>
      <c r="D59" s="35" t="s">
        <v>431</v>
      </c>
      <c r="E59" s="34"/>
      <c r="F59" s="37">
        <f>Source!CA31</f>
        <v>60</v>
      </c>
      <c r="G59" s="34"/>
      <c r="H59" s="37">
        <f>Y59</f>
        <v>3.74</v>
      </c>
      <c r="I59" s="34" t="str">
        <f>Source!FW31</f>
        <v>((*0.8))</v>
      </c>
      <c r="J59" s="37">
        <f>Source!AU31</f>
        <v>48</v>
      </c>
      <c r="K59" s="37">
        <f>Source!Y31</f>
        <v>53.3</v>
      </c>
      <c r="L59" s="34"/>
      <c r="Y59">
        <f>ROUND((Source!FY31/100)*(ROUND((Source!CT31/IF(Source!BA31&lt;&gt;0,Source!BA31,1)*Source!I31),2)+ROUND((Source!CS31/IF(Source!BS31&lt;&gt;0,Source!BS31,1)*Source!I31),2)),2)</f>
        <v>3.74</v>
      </c>
    </row>
    <row r="60" spans="1:23" ht="15.75">
      <c r="A60" s="14"/>
      <c r="B60" s="14"/>
      <c r="C60" s="14"/>
      <c r="D60" s="14"/>
      <c r="E60" s="14"/>
      <c r="F60" s="14"/>
      <c r="G60" s="14"/>
      <c r="H60" s="38">
        <f>ROUND((Source!CT31/IF(Source!BA31&lt;&gt;0,Source!BA31,1)*Source!I31),2)+ROUND((Source!CR31/IF(Source!BB31&lt;&gt;0,Source!BB31,1)*Source!I31),2)+H58+H59</f>
        <v>16.200000000000003</v>
      </c>
      <c r="I60" s="39"/>
      <c r="J60" s="39"/>
      <c r="K60" s="38">
        <f>Source!S31+Source!Q31+K58+K59</f>
        <v>258.74</v>
      </c>
      <c r="L60" s="38">
        <f>Source!U31</f>
        <v>0</v>
      </c>
      <c r="M60" s="33">
        <f>H60</f>
        <v>16.200000000000003</v>
      </c>
      <c r="N60">
        <f>ROUND((Source!CT31/IF(Source!BA31&lt;&gt;0,Source!BA31,1)*Source!I31),2)</f>
        <v>6.23</v>
      </c>
      <c r="O60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P60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60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60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16.185000000000002</v>
      </c>
      <c r="S60">
        <f>IF(Source!BI31=1,Source!O31+Source!X31+Source!Y31,0)</f>
        <v>0</v>
      </c>
      <c r="T60">
        <f>IF(Source!BI31=2,Source!O31+Source!X31+Source!Y31,0)</f>
        <v>0</v>
      </c>
      <c r="U60">
        <f>IF(Source!BI31=3,Source!O31+Source!X31+Source!Y31,0)</f>
        <v>0</v>
      </c>
      <c r="V60">
        <f>IF(Source!BI31=4,Source!O31+Source!X31+Source!Y31,0)</f>
        <v>258.74</v>
      </c>
      <c r="W60">
        <f>ROUND((Source!CS31/IF(Source!BS31&lt;&gt;0,Source!BS31,1)*Source!I31),2)</f>
        <v>0</v>
      </c>
    </row>
    <row r="61" spans="1:12" ht="30">
      <c r="A61" s="29" t="str">
        <f>Source!E32</f>
        <v>5</v>
      </c>
      <c r="B61" s="29" t="str">
        <f>Source!F32</f>
        <v>Техчасть индексов</v>
      </c>
      <c r="C61" s="30" t="str">
        <f>Source!G32</f>
        <v>Вывоз мусора на 10 км</v>
      </c>
      <c r="D61" s="31" t="str">
        <f>Source!H32</f>
        <v>т</v>
      </c>
      <c r="E61" s="14">
        <f>ROUND(Source!I32,6)</f>
        <v>1.5</v>
      </c>
      <c r="F61" s="16">
        <f>IF(Source!AK32&lt;&gt;0,Source!AK32,Source!AL32+Source!AM32+Source!AO32)</f>
        <v>14.63</v>
      </c>
      <c r="G61" s="14"/>
      <c r="H61" s="14"/>
      <c r="I61" s="32">
        <f>IF(Source!BO32&lt;&gt;"",Source!BO32,"")</f>
      </c>
      <c r="J61" s="14"/>
      <c r="K61" s="14"/>
      <c r="L61" s="14"/>
    </row>
    <row r="62" spans="1:12" ht="15">
      <c r="A62" s="34"/>
      <c r="B62" s="34"/>
      <c r="C62" s="34" t="s">
        <v>107</v>
      </c>
      <c r="D62" s="34"/>
      <c r="E62" s="34"/>
      <c r="F62" s="37">
        <f>Source!AM32</f>
        <v>14.63</v>
      </c>
      <c r="G62" s="36">
        <f>Source!DE32</f>
      </c>
      <c r="H62" s="37">
        <f>ROUND((Source!CR32/IF(Source!BB32&lt;&gt;0,Source!BB32,1)*Source!I32),2)</f>
        <v>21.95</v>
      </c>
      <c r="I62" s="34"/>
      <c r="J62" s="34">
        <f>Source!BB32</f>
        <v>5.32</v>
      </c>
      <c r="K62" s="37">
        <f>Source!Q32</f>
        <v>116.75</v>
      </c>
      <c r="L62" s="34"/>
    </row>
    <row r="63" spans="1:23" ht="15.75">
      <c r="A63" s="14"/>
      <c r="B63" s="14"/>
      <c r="C63" s="14"/>
      <c r="D63" s="14"/>
      <c r="E63" s="14"/>
      <c r="F63" s="14"/>
      <c r="G63" s="14"/>
      <c r="H63" s="38">
        <f>ROUND((Source!CT32/IF(Source!BA32&lt;&gt;0,Source!BA32,1)*Source!I32),2)+ROUND((Source!CR32/IF(Source!BB32&lt;&gt;0,Source!BB32,1)*Source!I32),2)</f>
        <v>21.95</v>
      </c>
      <c r="I63" s="39"/>
      <c r="J63" s="39"/>
      <c r="K63" s="38">
        <f>Source!S32+Source!Q32</f>
        <v>116.75</v>
      </c>
      <c r="L63" s="38">
        <f>Source!U32</f>
        <v>0</v>
      </c>
      <c r="M63" s="33">
        <f>H63</f>
        <v>21.95</v>
      </c>
      <c r="N63">
        <f>ROUND((Source!CT32/IF(Source!BA32&lt;&gt;0,Source!BA32,1)*Source!I32),2)</f>
        <v>0</v>
      </c>
      <c r="O63">
        <f>IF(Source!BI32=1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P63">
        <f>IF(Source!BI32=2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Q63">
        <f>IF(Source!BI32=3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R63">
        <f>IF(Source!BI32=4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21.945</v>
      </c>
      <c r="S63">
        <f>IF(Source!BI32=1,Source!O32+Source!X32+Source!Y32,0)</f>
        <v>0</v>
      </c>
      <c r="T63">
        <f>IF(Source!BI32=2,Source!O32+Source!X32+Source!Y32,0)</f>
        <v>0</v>
      </c>
      <c r="U63">
        <f>IF(Source!BI32=3,Source!O32+Source!X32+Source!Y32,0)</f>
        <v>0</v>
      </c>
      <c r="V63">
        <f>IF(Source!BI32=4,Source!O32+Source!X32+Source!Y32,0)</f>
        <v>116.75</v>
      </c>
      <c r="W63">
        <f>ROUND((Source!CS32/IF(Source!BS32&lt;&gt;0,Source!BS32,1)*Source!I32),2)</f>
        <v>0</v>
      </c>
    </row>
    <row r="64" spans="1:12" ht="45">
      <c r="A64" s="29" t="str">
        <f>Source!E33</f>
        <v>6</v>
      </c>
      <c r="B64" s="29" t="str">
        <f>Source!F33</f>
        <v>68-6-2</v>
      </c>
      <c r="C64" s="30" t="str">
        <f>Source!G33</f>
        <v>Омоложение живых изгородей: мягких с обрезкой побегов на пень до 100 %</v>
      </c>
      <c r="D64" s="31" t="str">
        <f>Source!H33</f>
        <v>м</v>
      </c>
      <c r="E64" s="14">
        <f>ROUND(Source!I33,6)</f>
        <v>199</v>
      </c>
      <c r="F64" s="16">
        <f>IF(Source!AK33&lt;&gt;0,Source!AK33,Source!AL33+Source!AM33+Source!AO33)</f>
        <v>1.92</v>
      </c>
      <c r="G64" s="14"/>
      <c r="H64" s="14"/>
      <c r="I64" s="32" t="str">
        <f>IF(Source!BO33&lt;&gt;"",Source!BO33,"")</f>
        <v>68-6-2</v>
      </c>
      <c r="J64" s="14"/>
      <c r="K64" s="14"/>
      <c r="L64" s="14"/>
    </row>
    <row r="65" spans="1:12" ht="15">
      <c r="A65" s="14"/>
      <c r="B65" s="14"/>
      <c r="C65" s="14" t="s">
        <v>429</v>
      </c>
      <c r="D65" s="14"/>
      <c r="E65" s="14"/>
      <c r="F65" s="16">
        <f>Source!AO33</f>
        <v>1.92</v>
      </c>
      <c r="G65" s="32">
        <f>Source!DG33</f>
      </c>
      <c r="H65" s="16">
        <f>ROUND((Source!CT33/IF(Source!BA33&lt;&gt;0,Source!BA33,1)*Source!I33),2)</f>
        <v>382.08</v>
      </c>
      <c r="I65" s="14"/>
      <c r="J65" s="14">
        <f>Source!BA33</f>
        <v>17.84</v>
      </c>
      <c r="K65" s="16">
        <f>Source!S33</f>
        <v>6816.31</v>
      </c>
      <c r="L65" s="14"/>
    </row>
    <row r="66" spans="1:24" ht="15">
      <c r="A66" s="14"/>
      <c r="B66" s="14"/>
      <c r="C66" s="14" t="s">
        <v>430</v>
      </c>
      <c r="D66" s="17" t="s">
        <v>431</v>
      </c>
      <c r="E66" s="14"/>
      <c r="F66" s="16">
        <f>Source!BZ33</f>
        <v>104</v>
      </c>
      <c r="G66" s="14"/>
      <c r="H66" s="16">
        <f>X66</f>
        <v>397.36</v>
      </c>
      <c r="I66" s="14" t="str">
        <f>Source!FV33</f>
        <v>((*0.85))</v>
      </c>
      <c r="J66" s="16">
        <f>Source!AT33</f>
        <v>88</v>
      </c>
      <c r="K66" s="16">
        <f>Source!X33</f>
        <v>5998.35</v>
      </c>
      <c r="L66" s="14"/>
      <c r="X66">
        <f>ROUND((Source!FX33/100)*(ROUND((Source!CT33/IF(Source!BA33&lt;&gt;0,Source!BA33,1)*Source!I33),2)+ROUND((Source!CS33/IF(Source!BS33&lt;&gt;0,Source!BS33,1)*Source!I33),2)),2)</f>
        <v>397.36</v>
      </c>
    </row>
    <row r="67" spans="1:25" ht="15">
      <c r="A67" s="14"/>
      <c r="B67" s="14"/>
      <c r="C67" s="14" t="s">
        <v>123</v>
      </c>
      <c r="D67" s="17" t="s">
        <v>431</v>
      </c>
      <c r="E67" s="14"/>
      <c r="F67" s="16">
        <f>Source!CA33</f>
        <v>60</v>
      </c>
      <c r="G67" s="14"/>
      <c r="H67" s="16">
        <f>Y67</f>
        <v>229.25</v>
      </c>
      <c r="I67" s="14" t="str">
        <f>Source!FW33</f>
        <v>((*0.8))</v>
      </c>
      <c r="J67" s="16">
        <f>Source!AU33</f>
        <v>48</v>
      </c>
      <c r="K67" s="16">
        <f>Source!Y33</f>
        <v>3271.83</v>
      </c>
      <c r="L67" s="14"/>
      <c r="Y67">
        <f>ROUND((Source!FY33/100)*(ROUND((Source!CT33/IF(Source!BA33&lt;&gt;0,Source!BA33,1)*Source!I33),2)+ROUND((Source!CS33/IF(Source!BS33&lt;&gt;0,Source!BS33,1)*Source!I33),2)),2)</f>
        <v>229.25</v>
      </c>
    </row>
    <row r="68" spans="1:12" ht="15">
      <c r="A68" s="34"/>
      <c r="B68" s="34"/>
      <c r="C68" s="34" t="s">
        <v>432</v>
      </c>
      <c r="D68" s="35" t="s">
        <v>433</v>
      </c>
      <c r="E68" s="34">
        <f>Source!AQ33</f>
        <v>0.25</v>
      </c>
      <c r="F68" s="34"/>
      <c r="G68" s="36">
        <f>Source!DI33</f>
      </c>
      <c r="H68" s="34"/>
      <c r="I68" s="34"/>
      <c r="J68" s="34"/>
      <c r="K68" s="34"/>
      <c r="L68" s="37">
        <f>Source!U33</f>
        <v>49.75</v>
      </c>
    </row>
    <row r="69" spans="1:23" ht="15.75">
      <c r="A69" s="14"/>
      <c r="B69" s="14"/>
      <c r="C69" s="14"/>
      <c r="D69" s="14"/>
      <c r="E69" s="14"/>
      <c r="F69" s="14"/>
      <c r="G69" s="14"/>
      <c r="H69" s="38">
        <f>ROUND((Source!CT33/IF(Source!BA33&lt;&gt;0,Source!BA33,1)*Source!I33),2)+ROUND((Source!CR33/IF(Source!BB33&lt;&gt;0,Source!BB33,1)*Source!I33),2)+H66+H67</f>
        <v>1008.69</v>
      </c>
      <c r="I69" s="39"/>
      <c r="J69" s="39"/>
      <c r="K69" s="38">
        <f>Source!S33+Source!Q33+K66+K67</f>
        <v>16086.49</v>
      </c>
      <c r="L69" s="38">
        <f>Source!U33</f>
        <v>49.75</v>
      </c>
      <c r="M69" s="33">
        <f>H69</f>
        <v>1008.69</v>
      </c>
      <c r="N69">
        <f>ROUND((Source!CT33/IF(Source!BA33&lt;&gt;0,Source!BA33,1)*Source!I33),2)</f>
        <v>382.08</v>
      </c>
      <c r="O69">
        <f>IF(Source!BI33=1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1008.6912000000002</v>
      </c>
      <c r="P69">
        <f>IF(Source!BI33=2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Q69">
        <f>IF(Source!BI33=3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R69">
        <f>IF(Source!BI33=4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S69">
        <f>IF(Source!BI33=1,Source!O33+Source!X33+Source!Y33,0)</f>
        <v>16086.49</v>
      </c>
      <c r="T69">
        <f>IF(Source!BI33=2,Source!O33+Source!X33+Source!Y33,0)</f>
        <v>0</v>
      </c>
      <c r="U69">
        <f>IF(Source!BI33=3,Source!O33+Source!X33+Source!Y33,0)</f>
        <v>0</v>
      </c>
      <c r="V69">
        <f>IF(Source!BI33=4,Source!O33+Source!X33+Source!Y33,0)</f>
        <v>0</v>
      </c>
      <c r="W69">
        <f>ROUND((Source!CS33/IF(Source!BS33&lt;&gt;0,Source!BS33,1)*Source!I33),2)</f>
        <v>0</v>
      </c>
    </row>
    <row r="70" spans="1:12" ht="30">
      <c r="A70" s="29" t="str">
        <f>Source!E34</f>
        <v>7</v>
      </c>
      <c r="B70" s="29" t="str">
        <f>Source!F34</f>
        <v>07-01-055-11</v>
      </c>
      <c r="C70" s="30" t="str">
        <f>Source!G34</f>
        <v>Демонтаж столбов</v>
      </c>
      <c r="D70" s="31" t="str">
        <f>Source!H34</f>
        <v>100 шт.</v>
      </c>
      <c r="E70" s="14">
        <f>ROUND(Source!I34,6)</f>
        <v>0.08</v>
      </c>
      <c r="F70" s="16">
        <f>IF(Source!AK34&lt;&gt;0,Source!AK34,Source!AL34+Source!AM34+Source!AO34)</f>
        <v>17168.37</v>
      </c>
      <c r="G70" s="14"/>
      <c r="H70" s="14"/>
      <c r="I70" s="32" t="str">
        <f>IF(Source!BO34&lt;&gt;"",Source!BO34,"")</f>
        <v>07-01-055-11</v>
      </c>
      <c r="J70" s="14"/>
      <c r="K70" s="14"/>
      <c r="L70" s="14"/>
    </row>
    <row r="71" spans="1:12" ht="15">
      <c r="A71" s="14"/>
      <c r="B71" s="14"/>
      <c r="C71" s="14" t="s">
        <v>429</v>
      </c>
      <c r="D71" s="14"/>
      <c r="E71" s="14"/>
      <c r="F71" s="16">
        <f>Source!AO34</f>
        <v>3952.45</v>
      </c>
      <c r="G71" s="32" t="str">
        <f>Source!DG34</f>
        <v>)*0,7</v>
      </c>
      <c r="H71" s="16">
        <f>ROUND((Source!CT34/IF(Source!BA34&lt;&gt;0,Source!BA34,1)*Source!I34),2)</f>
        <v>221.34</v>
      </c>
      <c r="I71" s="14"/>
      <c r="J71" s="14">
        <f>Source!BA34</f>
        <v>17.84</v>
      </c>
      <c r="K71" s="16">
        <f>Source!S34</f>
        <v>3948.66</v>
      </c>
      <c r="L71" s="14"/>
    </row>
    <row r="72" spans="1:12" ht="15">
      <c r="A72" s="14"/>
      <c r="B72" s="14"/>
      <c r="C72" s="14" t="s">
        <v>107</v>
      </c>
      <c r="D72" s="14"/>
      <c r="E72" s="14"/>
      <c r="F72" s="16">
        <f>Source!AM34</f>
        <v>12098.19</v>
      </c>
      <c r="G72" s="32" t="str">
        <f>Source!DE34</f>
        <v>)*0,7</v>
      </c>
      <c r="H72" s="16">
        <f>ROUND((Source!CR34/IF(Source!BB34&lt;&gt;0,Source!BB34,1)*Source!I34),2)</f>
        <v>677.5</v>
      </c>
      <c r="I72" s="14"/>
      <c r="J72" s="14">
        <f>Source!BB34</f>
        <v>7.2</v>
      </c>
      <c r="K72" s="16">
        <f>Source!Q34</f>
        <v>4877.99</v>
      </c>
      <c r="L72" s="14"/>
    </row>
    <row r="73" spans="1:12" ht="15">
      <c r="A73" s="14"/>
      <c r="B73" s="14"/>
      <c r="C73" s="14" t="s">
        <v>434</v>
      </c>
      <c r="D73" s="14"/>
      <c r="E73" s="14"/>
      <c r="F73" s="16">
        <f>Source!AN34</f>
        <v>1380.16</v>
      </c>
      <c r="G73" s="32" t="str">
        <f>Source!DF34</f>
        <v>)*0,7</v>
      </c>
      <c r="H73" s="40">
        <f>ROUND((Source!CS34/IF(Source!BS34&lt;&gt;0,Source!BS34,1)*Source!I34),2)</f>
        <v>77.29</v>
      </c>
      <c r="I73" s="14"/>
      <c r="J73" s="14">
        <f>Source!BS34</f>
        <v>17.84</v>
      </c>
      <c r="K73" s="40">
        <f>Source!R34</f>
        <v>1378.84</v>
      </c>
      <c r="L73" s="14"/>
    </row>
    <row r="74" spans="1:24" ht="15">
      <c r="A74" s="14"/>
      <c r="B74" s="14"/>
      <c r="C74" s="14" t="s">
        <v>430</v>
      </c>
      <c r="D74" s="17" t="s">
        <v>431</v>
      </c>
      <c r="E74" s="14"/>
      <c r="F74" s="16">
        <f>Source!BZ34</f>
        <v>130</v>
      </c>
      <c r="G74" s="14"/>
      <c r="H74" s="16">
        <f>X74</f>
        <v>388.22</v>
      </c>
      <c r="I74" s="14" t="str">
        <f>Source!FV34</f>
        <v>((*0.85))</v>
      </c>
      <c r="J74" s="16">
        <f>Source!AT34</f>
        <v>111</v>
      </c>
      <c r="K74" s="16">
        <f>Source!X34</f>
        <v>5913.53</v>
      </c>
      <c r="L74" s="14"/>
      <c r="X74">
        <f>ROUND((Source!FX34/100)*(ROUND((Source!CT34/IF(Source!BA34&lt;&gt;0,Source!BA34,1)*Source!I34),2)+ROUND((Source!CS34/IF(Source!BS34&lt;&gt;0,Source!BS34,1)*Source!I34),2)),2)</f>
        <v>388.22</v>
      </c>
    </row>
    <row r="75" spans="1:25" ht="15">
      <c r="A75" s="14"/>
      <c r="B75" s="14"/>
      <c r="C75" s="14" t="s">
        <v>123</v>
      </c>
      <c r="D75" s="17" t="s">
        <v>431</v>
      </c>
      <c r="E75" s="14"/>
      <c r="F75" s="16">
        <f>Source!CA34</f>
        <v>85</v>
      </c>
      <c r="G75" s="14"/>
      <c r="H75" s="16">
        <f>Y75</f>
        <v>253.84</v>
      </c>
      <c r="I75" s="14" t="str">
        <f>Source!FW34</f>
        <v>((*0.8))</v>
      </c>
      <c r="J75" s="16">
        <f>Source!AU34</f>
        <v>68</v>
      </c>
      <c r="K75" s="16">
        <f>Source!Y34</f>
        <v>3622.7</v>
      </c>
      <c r="L75" s="14"/>
      <c r="Y75">
        <f>ROUND((Source!FY34/100)*(ROUND((Source!CT34/IF(Source!BA34&lt;&gt;0,Source!BA34,1)*Source!I34),2)+ROUND((Source!CS34/IF(Source!BS34&lt;&gt;0,Source!BS34,1)*Source!I34),2)),2)</f>
        <v>253.84</v>
      </c>
    </row>
    <row r="76" spans="1:12" ht="15">
      <c r="A76" s="34"/>
      <c r="B76" s="34"/>
      <c r="C76" s="34" t="s">
        <v>432</v>
      </c>
      <c r="D76" s="35" t="s">
        <v>433</v>
      </c>
      <c r="E76" s="34">
        <f>Source!AQ34</f>
        <v>430.55</v>
      </c>
      <c r="F76" s="34"/>
      <c r="G76" s="36" t="str">
        <f>Source!DI34</f>
        <v>)*0,7</v>
      </c>
      <c r="H76" s="34"/>
      <c r="I76" s="34"/>
      <c r="J76" s="34"/>
      <c r="K76" s="34"/>
      <c r="L76" s="37">
        <f>Source!U34</f>
        <v>24.1108</v>
      </c>
    </row>
    <row r="77" spans="1:23" ht="15.75">
      <c r="A77" s="14"/>
      <c r="B77" s="14"/>
      <c r="C77" s="14"/>
      <c r="D77" s="14"/>
      <c r="E77" s="14"/>
      <c r="F77" s="14"/>
      <c r="G77" s="14"/>
      <c r="H77" s="38">
        <f>ROUND((Source!CT34/IF(Source!BA34&lt;&gt;0,Source!BA34,1)*Source!I34),2)+ROUND((Source!CR34/IF(Source!BB34&lt;&gt;0,Source!BB34,1)*Source!I34),2)+H74+H75</f>
        <v>1540.8999999999999</v>
      </c>
      <c r="I77" s="39"/>
      <c r="J77" s="39"/>
      <c r="K77" s="38">
        <f>Source!S34+Source!Q34+K74+K75</f>
        <v>18362.88</v>
      </c>
      <c r="L77" s="38">
        <f>Source!U34</f>
        <v>24.1108</v>
      </c>
      <c r="M77" s="33">
        <f>H77</f>
        <v>1540.8999999999999</v>
      </c>
      <c r="N77">
        <f>ROUND((Source!CT34/IF(Source!BA34&lt;&gt;0,Source!BA34,1)*Source!I34),2)</f>
        <v>221.34</v>
      </c>
      <c r="O77">
        <f>IF(Source!BI34=1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1540.8820839999998</v>
      </c>
      <c r="P77">
        <f>IF(Source!BI34=2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Q77">
        <f>IF(Source!BI34=3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R77">
        <f>IF(Source!BI34=4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S77">
        <f>IF(Source!BI34=1,Source!O34+Source!X34+Source!Y34,0)</f>
        <v>18362.88</v>
      </c>
      <c r="T77">
        <f>IF(Source!BI34=2,Source!O34+Source!X34+Source!Y34,0)</f>
        <v>0</v>
      </c>
      <c r="U77">
        <f>IF(Source!BI34=3,Source!O34+Source!X34+Source!Y34,0)</f>
        <v>0</v>
      </c>
      <c r="V77">
        <f>IF(Source!BI34=4,Source!O34+Source!X34+Source!Y34,0)</f>
        <v>0</v>
      </c>
      <c r="W77">
        <f>ROUND((Source!CS34/IF(Source!BS34&lt;&gt;0,Source!BS34,1)*Source!I34),2)</f>
        <v>77.29</v>
      </c>
    </row>
    <row r="78" spans="1:12" ht="30">
      <c r="A78" s="29" t="str">
        <f>Source!E35</f>
        <v>8</v>
      </c>
      <c r="B78" s="29" t="str">
        <f>Source!F35</f>
        <v>68-4-2</v>
      </c>
      <c r="C78" s="30" t="str">
        <f>Source!G35</f>
        <v>Выкашивание газонов: газонокосилкой</v>
      </c>
      <c r="D78" s="31" t="str">
        <f>Source!H35</f>
        <v>100 м2</v>
      </c>
      <c r="E78" s="14">
        <f>ROUND(Source!I35,6)</f>
        <v>35</v>
      </c>
      <c r="F78" s="16">
        <f>IF(Source!AK35&lt;&gt;0,Source!AK35,Source!AL35+Source!AM35+Source!AO35)</f>
        <v>20.09</v>
      </c>
      <c r="G78" s="14"/>
      <c r="H78" s="14"/>
      <c r="I78" s="32" t="str">
        <f>IF(Source!BO35&lt;&gt;"",Source!BO35,"")</f>
        <v>68-4-2</v>
      </c>
      <c r="J78" s="14"/>
      <c r="K78" s="14"/>
      <c r="L78" s="14"/>
    </row>
    <row r="79" spans="1:12" ht="15">
      <c r="A79" s="14"/>
      <c r="B79" s="14"/>
      <c r="C79" s="14" t="s">
        <v>429</v>
      </c>
      <c r="D79" s="14"/>
      <c r="E79" s="14"/>
      <c r="F79" s="16">
        <f>Source!AO35</f>
        <v>7.71</v>
      </c>
      <c r="G79" s="32">
        <f>Source!DG35</f>
      </c>
      <c r="H79" s="16">
        <f>ROUND((Source!CT35/IF(Source!BA35&lt;&gt;0,Source!BA35,1)*Source!I35),2)</f>
        <v>269.85</v>
      </c>
      <c r="I79" s="14"/>
      <c r="J79" s="14">
        <f>Source!BA35</f>
        <v>17.84</v>
      </c>
      <c r="K79" s="16">
        <f>Source!S35</f>
        <v>4814.12</v>
      </c>
      <c r="L79" s="14"/>
    </row>
    <row r="80" spans="1:12" ht="15">
      <c r="A80" s="14"/>
      <c r="B80" s="14"/>
      <c r="C80" s="14" t="s">
        <v>107</v>
      </c>
      <c r="D80" s="14"/>
      <c r="E80" s="14"/>
      <c r="F80" s="16">
        <f>Source!AM35</f>
        <v>12.38</v>
      </c>
      <c r="G80" s="32">
        <f>Source!DE35</f>
      </c>
      <c r="H80" s="16">
        <f>ROUND((Source!CR35/IF(Source!BB35&lt;&gt;0,Source!BB35,1)*Source!I35),2)</f>
        <v>433.3</v>
      </c>
      <c r="I80" s="14"/>
      <c r="J80" s="14">
        <f>Source!BB35</f>
        <v>5.88</v>
      </c>
      <c r="K80" s="16">
        <f>Source!Q35</f>
        <v>2547.8</v>
      </c>
      <c r="L80" s="14"/>
    </row>
    <row r="81" spans="1:24" ht="15">
      <c r="A81" s="14"/>
      <c r="B81" s="14"/>
      <c r="C81" s="14" t="s">
        <v>430</v>
      </c>
      <c r="D81" s="17" t="s">
        <v>431</v>
      </c>
      <c r="E81" s="14"/>
      <c r="F81" s="16">
        <f>Source!BZ35</f>
        <v>104</v>
      </c>
      <c r="G81" s="14"/>
      <c r="H81" s="16">
        <f>X81</f>
        <v>280.64</v>
      </c>
      <c r="I81" s="14" t="str">
        <f>Source!FV35</f>
        <v>((*0.85))</v>
      </c>
      <c r="J81" s="16">
        <f>Source!AT35</f>
        <v>88</v>
      </c>
      <c r="K81" s="16">
        <f>Source!X35</f>
        <v>4236.43</v>
      </c>
      <c r="L81" s="14"/>
      <c r="X81">
        <f>ROUND((Source!FX35/100)*(ROUND((Source!CT35/IF(Source!BA35&lt;&gt;0,Source!BA35,1)*Source!I35),2)+ROUND((Source!CS35/IF(Source!BS35&lt;&gt;0,Source!BS35,1)*Source!I35),2)),2)</f>
        <v>280.64</v>
      </c>
    </row>
    <row r="82" spans="1:25" ht="15">
      <c r="A82" s="14"/>
      <c r="B82" s="14"/>
      <c r="C82" s="14" t="s">
        <v>123</v>
      </c>
      <c r="D82" s="17" t="s">
        <v>431</v>
      </c>
      <c r="E82" s="14"/>
      <c r="F82" s="16">
        <f>Source!CA35</f>
        <v>60</v>
      </c>
      <c r="G82" s="14"/>
      <c r="H82" s="16">
        <f>Y82</f>
        <v>161.91</v>
      </c>
      <c r="I82" s="14" t="str">
        <f>Source!FW35</f>
        <v>((*0.8))</v>
      </c>
      <c r="J82" s="16">
        <f>Source!AU35</f>
        <v>48</v>
      </c>
      <c r="K82" s="16">
        <f>Source!Y35</f>
        <v>2310.78</v>
      </c>
      <c r="L82" s="14"/>
      <c r="Y82">
        <f>ROUND((Source!FY35/100)*(ROUND((Source!CT35/IF(Source!BA35&lt;&gt;0,Source!BA35,1)*Source!I35),2)+ROUND((Source!CS35/IF(Source!BS35&lt;&gt;0,Source!BS35,1)*Source!I35),2)),2)</f>
        <v>161.91</v>
      </c>
    </row>
    <row r="83" spans="1:12" ht="15">
      <c r="A83" s="34"/>
      <c r="B83" s="34"/>
      <c r="C83" s="34" t="s">
        <v>432</v>
      </c>
      <c r="D83" s="35" t="s">
        <v>433</v>
      </c>
      <c r="E83" s="34">
        <f>Source!AQ35</f>
        <v>0.98</v>
      </c>
      <c r="F83" s="34"/>
      <c r="G83" s="36">
        <f>Source!DI35</f>
      </c>
      <c r="H83" s="34"/>
      <c r="I83" s="34"/>
      <c r="J83" s="34"/>
      <c r="K83" s="34"/>
      <c r="L83" s="37">
        <f>Source!U35</f>
        <v>34.3</v>
      </c>
    </row>
    <row r="84" spans="1:23" ht="15.75">
      <c r="A84" s="14"/>
      <c r="B84" s="14"/>
      <c r="C84" s="14"/>
      <c r="D84" s="14"/>
      <c r="E84" s="14"/>
      <c r="F84" s="14"/>
      <c r="G84" s="14"/>
      <c r="H84" s="38">
        <f>ROUND((Source!CT35/IF(Source!BA35&lt;&gt;0,Source!BA35,1)*Source!I35),2)+ROUND((Source!CR35/IF(Source!BB35&lt;&gt;0,Source!BB35,1)*Source!I35),2)+H81+H82</f>
        <v>1145.7</v>
      </c>
      <c r="I84" s="39"/>
      <c r="J84" s="39"/>
      <c r="K84" s="38">
        <f>Source!S35+Source!Q35+K81+K82</f>
        <v>13909.130000000001</v>
      </c>
      <c r="L84" s="38">
        <f>Source!U35</f>
        <v>34.3</v>
      </c>
      <c r="M84" s="33">
        <f>H84</f>
        <v>1145.7</v>
      </c>
      <c r="N84">
        <f>ROUND((Source!CT35/IF(Source!BA35&lt;&gt;0,Source!BA35,1)*Source!I35),2)</f>
        <v>269.85</v>
      </c>
      <c r="O84">
        <f>IF(Source!BI35=1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1145.7040000000002</v>
      </c>
      <c r="P84">
        <f>IF(Source!BI35=2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Q84">
        <f>IF(Source!BI35=3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R84">
        <f>IF(Source!BI35=4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S84">
        <f>IF(Source!BI35=1,Source!O35+Source!X35+Source!Y35,0)</f>
        <v>13909.130000000001</v>
      </c>
      <c r="T84">
        <f>IF(Source!BI35=2,Source!O35+Source!X35+Source!Y35,0)</f>
        <v>0</v>
      </c>
      <c r="U84">
        <f>IF(Source!BI35=3,Source!O35+Source!X35+Source!Y35,0)</f>
        <v>0</v>
      </c>
      <c r="V84">
        <f>IF(Source!BI35=4,Source!O35+Source!X35+Source!Y35,0)</f>
        <v>0</v>
      </c>
      <c r="W84">
        <f>ROUND((Source!CS35/IF(Source!BS35&lt;&gt;0,Source!BS35,1)*Source!I35),2)</f>
        <v>0</v>
      </c>
    </row>
    <row r="85" spans="1:12" ht="60">
      <c r="A85" s="29" t="str">
        <f>Source!E36</f>
        <v>9</v>
      </c>
      <c r="B85" s="29" t="str">
        <f>Source!F36</f>
        <v>01-01-030-2</v>
      </c>
      <c r="C85" s="30" t="str">
        <f>Source!G36</f>
        <v>Разработка грунта с перемещением до 10 м бульдозерами мощностью 59 кВт (80 л.с.), группа грунтов 2</v>
      </c>
      <c r="D85" s="31" t="str">
        <f>Source!H36</f>
        <v>1000 м3</v>
      </c>
      <c r="E85" s="14">
        <f>ROUND(Source!I36,6)</f>
        <v>0.019</v>
      </c>
      <c r="F85" s="16">
        <f>IF(Source!AK36&lt;&gt;0,Source!AK36,Source!AL36+Source!AM36+Source!AO36)</f>
        <v>775.45</v>
      </c>
      <c r="G85" s="14"/>
      <c r="H85" s="14"/>
      <c r="I85" s="32" t="str">
        <f>IF(Source!BO36&lt;&gt;"",Source!BO36,"")</f>
        <v>01-01-030-2</v>
      </c>
      <c r="J85" s="14"/>
      <c r="K85" s="14"/>
      <c r="L85" s="14"/>
    </row>
    <row r="86" spans="1:12" ht="15">
      <c r="A86" s="14"/>
      <c r="B86" s="14"/>
      <c r="C86" s="14" t="s">
        <v>107</v>
      </c>
      <c r="D86" s="14"/>
      <c r="E86" s="14"/>
      <c r="F86" s="16">
        <f>Source!AM36</f>
        <v>775.45</v>
      </c>
      <c r="G86" s="32">
        <f>Source!DE36</f>
      </c>
      <c r="H86" s="16">
        <f>ROUND((Source!CR36/IF(Source!BB36&lt;&gt;0,Source!BB36,1)*Source!I36),2)</f>
        <v>14.73</v>
      </c>
      <c r="I86" s="14"/>
      <c r="J86" s="14">
        <f>Source!BB36</f>
        <v>11.01</v>
      </c>
      <c r="K86" s="16">
        <f>Source!Q36</f>
        <v>162.22</v>
      </c>
      <c r="L86" s="14"/>
    </row>
    <row r="87" spans="1:12" ht="15">
      <c r="A87" s="14"/>
      <c r="B87" s="14"/>
      <c r="C87" s="14" t="s">
        <v>434</v>
      </c>
      <c r="D87" s="14"/>
      <c r="E87" s="14"/>
      <c r="F87" s="16">
        <f>Source!AN36</f>
        <v>170.78</v>
      </c>
      <c r="G87" s="32">
        <f>Source!DF36</f>
      </c>
      <c r="H87" s="40">
        <f>ROUND((Source!CS36/IF(Source!BS36&lt;&gt;0,Source!BS36,1)*Source!I36),2)</f>
        <v>3.24</v>
      </c>
      <c r="I87" s="14"/>
      <c r="J87" s="14">
        <f>Source!BS36</f>
        <v>17.84</v>
      </c>
      <c r="K87" s="40">
        <f>Source!R36</f>
        <v>57.89</v>
      </c>
      <c r="L87" s="14"/>
    </row>
    <row r="88" spans="1:24" ht="15">
      <c r="A88" s="14"/>
      <c r="B88" s="14"/>
      <c r="C88" s="14" t="s">
        <v>430</v>
      </c>
      <c r="D88" s="17" t="s">
        <v>431</v>
      </c>
      <c r="E88" s="14"/>
      <c r="F88" s="16">
        <f>Source!BZ36</f>
        <v>95</v>
      </c>
      <c r="G88" s="14"/>
      <c r="H88" s="16">
        <f>X88</f>
        <v>3.08</v>
      </c>
      <c r="I88" s="14" t="str">
        <f>Source!FV36</f>
        <v>((*0.85))</v>
      </c>
      <c r="J88" s="16">
        <f>Source!AT36</f>
        <v>81</v>
      </c>
      <c r="K88" s="16">
        <f>Source!X36</f>
        <v>46.89</v>
      </c>
      <c r="L88" s="14"/>
      <c r="X88">
        <f>ROUND((Source!FX36/100)*(ROUND((Source!CT36/IF(Source!BA36&lt;&gt;0,Source!BA36,1)*Source!I36),2)+ROUND((Source!CS36/IF(Source!BS36&lt;&gt;0,Source!BS36,1)*Source!I36),2)),2)</f>
        <v>3.08</v>
      </c>
    </row>
    <row r="89" spans="1:25" ht="15">
      <c r="A89" s="34"/>
      <c r="B89" s="34"/>
      <c r="C89" s="34" t="s">
        <v>123</v>
      </c>
      <c r="D89" s="35" t="s">
        <v>431</v>
      </c>
      <c r="E89" s="34"/>
      <c r="F89" s="37">
        <f>Source!CA36</f>
        <v>50</v>
      </c>
      <c r="G89" s="34"/>
      <c r="H89" s="37">
        <f>Y89</f>
        <v>1.62</v>
      </c>
      <c r="I89" s="34" t="str">
        <f>Source!FW36</f>
        <v>((*0.8))</v>
      </c>
      <c r="J89" s="37">
        <f>Source!AU36</f>
        <v>40</v>
      </c>
      <c r="K89" s="37">
        <f>Source!Y36</f>
        <v>23.16</v>
      </c>
      <c r="L89" s="34"/>
      <c r="Y89">
        <f>ROUND((Source!FY36/100)*(ROUND((Source!CT36/IF(Source!BA36&lt;&gt;0,Source!BA36,1)*Source!I36),2)+ROUND((Source!CS36/IF(Source!BS36&lt;&gt;0,Source!BS36,1)*Source!I36),2)),2)</f>
        <v>1.62</v>
      </c>
    </row>
    <row r="90" spans="1:23" ht="15.75">
      <c r="A90" s="14"/>
      <c r="B90" s="14"/>
      <c r="C90" s="14"/>
      <c r="D90" s="14"/>
      <c r="E90" s="14"/>
      <c r="F90" s="14"/>
      <c r="G90" s="14"/>
      <c r="H90" s="38">
        <f>ROUND((Source!CT36/IF(Source!BA36&lt;&gt;0,Source!BA36,1)*Source!I36),2)+ROUND((Source!CR36/IF(Source!BB36&lt;&gt;0,Source!BB36,1)*Source!I36),2)+H88+H89</f>
        <v>19.430000000000003</v>
      </c>
      <c r="I90" s="39"/>
      <c r="J90" s="39"/>
      <c r="K90" s="38">
        <f>Source!S36+Source!Q36+K88+K89</f>
        <v>232.27</v>
      </c>
      <c r="L90" s="38">
        <f>Source!U36</f>
        <v>0</v>
      </c>
      <c r="M90" s="33">
        <f>H90</f>
        <v>19.430000000000003</v>
      </c>
      <c r="N90">
        <f>ROUND((Source!CT36/IF(Source!BA36&lt;&gt;0,Source!BA36,1)*Source!I36),2)</f>
        <v>0</v>
      </c>
      <c r="O90">
        <f>IF(Source!BI36=1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19.438539</v>
      </c>
      <c r="P90">
        <f>IF(Source!BI36=2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Q90">
        <f>IF(Source!BI36=3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R90">
        <f>IF(Source!BI36=4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S90">
        <f>IF(Source!BI36=1,Source!O36+Source!X36+Source!Y36,0)</f>
        <v>232.27</v>
      </c>
      <c r="T90">
        <f>IF(Source!BI36=2,Source!O36+Source!X36+Source!Y36,0)</f>
        <v>0</v>
      </c>
      <c r="U90">
        <f>IF(Source!BI36=3,Source!O36+Source!X36+Source!Y36,0)</f>
        <v>0</v>
      </c>
      <c r="V90">
        <f>IF(Source!BI36=4,Source!O36+Source!X36+Source!Y36,0)</f>
        <v>0</v>
      </c>
      <c r="W90">
        <f>ROUND((Source!CS36/IF(Source!BS36&lt;&gt;0,Source!BS36,1)*Source!I36),2)</f>
        <v>3.24</v>
      </c>
    </row>
    <row r="91" spans="1:12" ht="60">
      <c r="A91" s="29" t="str">
        <f>Source!E37</f>
        <v>10</v>
      </c>
      <c r="B91" s="29" t="str">
        <f>Source!F37</f>
        <v>01-01-013-8</v>
      </c>
      <c r="C91" s="30" t="str">
        <f>Source!G37</f>
        <v>Погрузка на автомобили-самосвалы экскаваторами с ковшом вместимостью 0,65 (0,5-1) м3, группа грунтов 2</v>
      </c>
      <c r="D91" s="31" t="str">
        <f>Source!H37</f>
        <v>1000 м3</v>
      </c>
      <c r="E91" s="14">
        <f>ROUND(Source!I37,6)</f>
        <v>0.019</v>
      </c>
      <c r="F91" s="16">
        <f>IF(Source!AK37&lt;&gt;0,Source!AK37,Source!AL37+Source!AM37+Source!AO37)</f>
        <v>3894.54</v>
      </c>
      <c r="G91" s="14"/>
      <c r="H91" s="14"/>
      <c r="I91" s="32" t="str">
        <f>IF(Source!BO37&lt;&gt;"",Source!BO37,"")</f>
        <v>01-01-013-8</v>
      </c>
      <c r="J91" s="14"/>
      <c r="K91" s="14"/>
      <c r="L91" s="14"/>
    </row>
    <row r="92" spans="1:12" ht="15">
      <c r="A92" s="14"/>
      <c r="B92" s="14"/>
      <c r="C92" s="14" t="s">
        <v>429</v>
      </c>
      <c r="D92" s="14"/>
      <c r="E92" s="14"/>
      <c r="F92" s="16">
        <f>Source!AO37</f>
        <v>89</v>
      </c>
      <c r="G92" s="32">
        <f>Source!DG37</f>
      </c>
      <c r="H92" s="16">
        <f>ROUND((Source!CT37/IF(Source!BA37&lt;&gt;0,Source!BA37,1)*Source!I37),2)</f>
        <v>1.69</v>
      </c>
      <c r="I92" s="14"/>
      <c r="J92" s="14">
        <f>Source!BA37</f>
        <v>17.84</v>
      </c>
      <c r="K92" s="16">
        <f>Source!S37</f>
        <v>30.17</v>
      </c>
      <c r="L92" s="14"/>
    </row>
    <row r="93" spans="1:12" ht="15">
      <c r="A93" s="14"/>
      <c r="B93" s="14"/>
      <c r="C93" s="14" t="s">
        <v>107</v>
      </c>
      <c r="D93" s="14"/>
      <c r="E93" s="14"/>
      <c r="F93" s="16">
        <f>Source!AM37</f>
        <v>3801.2</v>
      </c>
      <c r="G93" s="32">
        <f>Source!DE37</f>
      </c>
      <c r="H93" s="16">
        <f>ROUND((Source!CR37/IF(Source!BB37&lt;&gt;0,Source!BB37,1)*Source!I37),2)</f>
        <v>72.22</v>
      </c>
      <c r="I93" s="14"/>
      <c r="J93" s="14">
        <f>Source!BB37</f>
        <v>8.2</v>
      </c>
      <c r="K93" s="16">
        <f>Source!Q37</f>
        <v>592.23</v>
      </c>
      <c r="L93" s="14"/>
    </row>
    <row r="94" spans="1:12" ht="15">
      <c r="A94" s="14"/>
      <c r="B94" s="14"/>
      <c r="C94" s="14" t="s">
        <v>434</v>
      </c>
      <c r="D94" s="14"/>
      <c r="E94" s="14"/>
      <c r="F94" s="16">
        <f>Source!AN37</f>
        <v>453.66</v>
      </c>
      <c r="G94" s="32">
        <f>Source!DF37</f>
      </c>
      <c r="H94" s="40">
        <f>ROUND((Source!CS37/IF(Source!BS37&lt;&gt;0,Source!BS37,1)*Source!I37),2)</f>
        <v>8.62</v>
      </c>
      <c r="I94" s="14"/>
      <c r="J94" s="14">
        <f>Source!BS37</f>
        <v>17.84</v>
      </c>
      <c r="K94" s="40">
        <f>Source!R37</f>
        <v>153.77</v>
      </c>
      <c r="L94" s="14"/>
    </row>
    <row r="95" spans="1:12" ht="15">
      <c r="A95" s="14"/>
      <c r="B95" s="14"/>
      <c r="C95" s="14" t="s">
        <v>435</v>
      </c>
      <c r="D95" s="14"/>
      <c r="E95" s="14"/>
      <c r="F95" s="16">
        <f>Source!AL37</f>
        <v>4.34</v>
      </c>
      <c r="G95" s="32">
        <f>Source!DD37</f>
      </c>
      <c r="H95" s="16">
        <f>ROUND((Source!CQ37/IF(Source!BC37&lt;&gt;0,Source!BC37,1)*Source!I37),2)</f>
        <v>0.08</v>
      </c>
      <c r="I95" s="14"/>
      <c r="J95" s="14">
        <f>Source!BC37</f>
        <v>11.93</v>
      </c>
      <c r="K95" s="16">
        <f>Source!P37</f>
        <v>0.98</v>
      </c>
      <c r="L95" s="14"/>
    </row>
    <row r="96" spans="1:24" ht="15">
      <c r="A96" s="14"/>
      <c r="B96" s="14"/>
      <c r="C96" s="14" t="s">
        <v>430</v>
      </c>
      <c r="D96" s="17" t="s">
        <v>431</v>
      </c>
      <c r="E96" s="14"/>
      <c r="F96" s="16">
        <f>Source!BZ37</f>
        <v>95</v>
      </c>
      <c r="G96" s="14"/>
      <c r="H96" s="16">
        <f>X96</f>
        <v>9.79</v>
      </c>
      <c r="I96" s="14" t="str">
        <f>Source!FV37</f>
        <v>((*0.85))</v>
      </c>
      <c r="J96" s="16">
        <f>Source!AT37</f>
        <v>81</v>
      </c>
      <c r="K96" s="16">
        <f>Source!X37</f>
        <v>148.99</v>
      </c>
      <c r="L96" s="14"/>
      <c r="X96">
        <f>ROUND((Source!FX37/100)*(ROUND((Source!CT37/IF(Source!BA37&lt;&gt;0,Source!BA37,1)*Source!I37),2)+ROUND((Source!CS37/IF(Source!BS37&lt;&gt;0,Source!BS37,1)*Source!I37),2)),2)</f>
        <v>9.79</v>
      </c>
    </row>
    <row r="97" spans="1:25" ht="15">
      <c r="A97" s="14"/>
      <c r="B97" s="14"/>
      <c r="C97" s="14" t="s">
        <v>123</v>
      </c>
      <c r="D97" s="17" t="s">
        <v>431</v>
      </c>
      <c r="E97" s="14"/>
      <c r="F97" s="16">
        <f>Source!CA37</f>
        <v>50</v>
      </c>
      <c r="G97" s="14"/>
      <c r="H97" s="16">
        <f>Y97</f>
        <v>5.16</v>
      </c>
      <c r="I97" s="14" t="str">
        <f>Source!FW37</f>
        <v>((*0.8))</v>
      </c>
      <c r="J97" s="16">
        <f>Source!AU37</f>
        <v>40</v>
      </c>
      <c r="K97" s="16">
        <f>Source!Y37</f>
        <v>73.58</v>
      </c>
      <c r="L97" s="14"/>
      <c r="Y97">
        <f>ROUND((Source!FY37/100)*(ROUND((Source!CT37/IF(Source!BA37&lt;&gt;0,Source!BA37,1)*Source!I37),2)+ROUND((Source!CS37/IF(Source!BS37&lt;&gt;0,Source!BS37,1)*Source!I37),2)),2)</f>
        <v>5.16</v>
      </c>
    </row>
    <row r="98" spans="1:12" ht="15">
      <c r="A98" s="34"/>
      <c r="B98" s="34"/>
      <c r="C98" s="34" t="s">
        <v>432</v>
      </c>
      <c r="D98" s="35" t="s">
        <v>433</v>
      </c>
      <c r="E98" s="34">
        <f>Source!AQ37</f>
        <v>11.41</v>
      </c>
      <c r="F98" s="34"/>
      <c r="G98" s="36">
        <f>Source!DI37</f>
      </c>
      <c r="H98" s="34"/>
      <c r="I98" s="34"/>
      <c r="J98" s="34"/>
      <c r="K98" s="34"/>
      <c r="L98" s="37">
        <f>Source!U37</f>
        <v>0.21679</v>
      </c>
    </row>
    <row r="99" spans="1:23" ht="15.75">
      <c r="A99" s="14"/>
      <c r="B99" s="14"/>
      <c r="C99" s="14"/>
      <c r="D99" s="14"/>
      <c r="E99" s="14"/>
      <c r="F99" s="14"/>
      <c r="G99" s="14"/>
      <c r="H99" s="38">
        <f>ROUND((Source!CT37/IF(Source!BA37&lt;&gt;0,Source!BA37,1)*Source!I37),2)+ROUND((Source!CR37/IF(Source!BB37&lt;&gt;0,Source!BB37,1)*Source!I37),2)+H95+H96+H97</f>
        <v>88.94</v>
      </c>
      <c r="I99" s="39"/>
      <c r="J99" s="39"/>
      <c r="K99" s="38">
        <f>Source!S37+Source!Q37+K95+K96+K97</f>
        <v>845.95</v>
      </c>
      <c r="L99" s="38">
        <f>Source!U37</f>
        <v>0.21679</v>
      </c>
      <c r="M99" s="33">
        <f>H99</f>
        <v>88.94</v>
      </c>
      <c r="N99">
        <f>ROUND((Source!CT37/IF(Source!BA37&lt;&gt;0,Source!BA37,1)*Source!I37),2)</f>
        <v>1.69</v>
      </c>
      <c r="O99">
        <f>IF(Source!BI37=1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88.94654299999999</v>
      </c>
      <c r="P99">
        <f>IF(Source!BI37=2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Q99">
        <f>IF(Source!BI37=3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R99">
        <f>IF(Source!BI37=4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S99">
        <f>IF(Source!BI37=1,Source!O37+Source!X37+Source!Y37,0)</f>
        <v>845.95</v>
      </c>
      <c r="T99">
        <f>IF(Source!BI37=2,Source!O37+Source!X37+Source!Y37,0)</f>
        <v>0</v>
      </c>
      <c r="U99">
        <f>IF(Source!BI37=3,Source!O37+Source!X37+Source!Y37,0)</f>
        <v>0</v>
      </c>
      <c r="V99">
        <f>IF(Source!BI37=4,Source!O37+Source!X37+Source!Y37,0)</f>
        <v>0</v>
      </c>
      <c r="W99">
        <f>ROUND((Source!CS37/IF(Source!BS37&lt;&gt;0,Source!BS37,1)*Source!I37),2)</f>
        <v>8.62</v>
      </c>
    </row>
    <row r="100" spans="1:12" ht="30">
      <c r="A100" s="29" t="str">
        <f>Source!E38</f>
        <v>11</v>
      </c>
      <c r="B100" s="29" t="str">
        <f>Source!F38</f>
        <v>Техчасть индексов</v>
      </c>
      <c r="C100" s="30" t="str">
        <f>Source!G38</f>
        <v>Вывоз грунта на 10 км</v>
      </c>
      <c r="D100" s="31" t="str">
        <f>Source!H38</f>
        <v>т</v>
      </c>
      <c r="E100" s="14">
        <f>ROUND(Source!I38,6)</f>
        <v>2.8</v>
      </c>
      <c r="F100" s="16">
        <f>IF(Source!AK38&lt;&gt;0,Source!AK38,Source!AL38+Source!AM38+Source!AO38)</f>
        <v>14.63</v>
      </c>
      <c r="G100" s="14"/>
      <c r="H100" s="14"/>
      <c r="I100" s="32">
        <f>IF(Source!BO38&lt;&gt;"",Source!BO38,"")</f>
      </c>
      <c r="J100" s="14"/>
      <c r="K100" s="14"/>
      <c r="L100" s="14"/>
    </row>
    <row r="101" spans="1:12" ht="15">
      <c r="A101" s="34"/>
      <c r="B101" s="34"/>
      <c r="C101" s="34" t="s">
        <v>107</v>
      </c>
      <c r="D101" s="34"/>
      <c r="E101" s="34"/>
      <c r="F101" s="37">
        <f>Source!AM38</f>
        <v>14.63</v>
      </c>
      <c r="G101" s="36">
        <f>Source!DE38</f>
      </c>
      <c r="H101" s="37">
        <f>ROUND((Source!CR38/IF(Source!BB38&lt;&gt;0,Source!BB38,1)*Source!I38),2)</f>
        <v>40.96</v>
      </c>
      <c r="I101" s="34"/>
      <c r="J101" s="34">
        <f>Source!BB38</f>
        <v>5.32</v>
      </c>
      <c r="K101" s="37">
        <f>Source!Q38</f>
        <v>217.93</v>
      </c>
      <c r="L101" s="34"/>
    </row>
    <row r="102" spans="1:23" ht="15.75">
      <c r="A102" s="14"/>
      <c r="B102" s="14"/>
      <c r="C102" s="14"/>
      <c r="D102" s="14"/>
      <c r="E102" s="14"/>
      <c r="F102" s="14"/>
      <c r="G102" s="14"/>
      <c r="H102" s="38">
        <f>ROUND((Source!CT38/IF(Source!BA38&lt;&gt;0,Source!BA38,1)*Source!I38),2)+ROUND((Source!CR38/IF(Source!BB38&lt;&gt;0,Source!BB38,1)*Source!I38),2)</f>
        <v>40.96</v>
      </c>
      <c r="I102" s="39"/>
      <c r="J102" s="39"/>
      <c r="K102" s="38">
        <f>Source!S38+Source!Q38</f>
        <v>217.93</v>
      </c>
      <c r="L102" s="38">
        <f>Source!U38</f>
        <v>0</v>
      </c>
      <c r="M102" s="33">
        <f>H102</f>
        <v>40.96</v>
      </c>
      <c r="N102">
        <f>ROUND((Source!CT38/IF(Source!BA38&lt;&gt;0,Source!BA38,1)*Source!I38),2)</f>
        <v>0</v>
      </c>
      <c r="O102">
        <f>IF(Source!BI38=1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P102">
        <f>IF(Source!BI38=2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Q102">
        <f>IF(Source!BI38=3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R102">
        <f>IF(Source!BI38=4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40.964</v>
      </c>
      <c r="S102">
        <f>IF(Source!BI38=1,Source!O38+Source!X38+Source!Y38,0)</f>
        <v>0</v>
      </c>
      <c r="T102">
        <f>IF(Source!BI38=2,Source!O38+Source!X38+Source!Y38,0)</f>
        <v>0</v>
      </c>
      <c r="U102">
        <f>IF(Source!BI38=3,Source!O38+Source!X38+Source!Y38,0)</f>
        <v>0</v>
      </c>
      <c r="V102">
        <f>IF(Source!BI38=4,Source!O38+Source!X38+Source!Y38,0)</f>
        <v>217.93</v>
      </c>
      <c r="W102">
        <f>ROUND((Source!CS38/IF(Source!BS38&lt;&gt;0,Source!BS38,1)*Source!I38),2)</f>
        <v>0</v>
      </c>
    </row>
    <row r="103" spans="1:12" ht="90">
      <c r="A103" s="29" t="str">
        <f>Source!E39</f>
        <v>12</v>
      </c>
      <c r="B103" s="29" t="str">
        <f>Source!F39</f>
        <v>47-01-046-3</v>
      </c>
      <c r="C103" s="30" t="str">
        <f>Source!G39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D103" s="31" t="str">
        <f>Source!H39</f>
        <v>100 м2</v>
      </c>
      <c r="E103" s="14">
        <f>ROUND(Source!I39,6)</f>
        <v>0.9</v>
      </c>
      <c r="F103" s="16">
        <f>IF(Source!AK39&lt;&gt;0,Source!AK39,Source!AL39+Source!AM39+Source!AO39)</f>
        <v>2263.61</v>
      </c>
      <c r="G103" s="14"/>
      <c r="H103" s="14"/>
      <c r="I103" s="32" t="str">
        <f>IF(Source!BO39&lt;&gt;"",Source!BO39,"")</f>
        <v>47-01-046-3</v>
      </c>
      <c r="J103" s="14"/>
      <c r="K103" s="14"/>
      <c r="L103" s="14"/>
    </row>
    <row r="104" spans="1:12" ht="15">
      <c r="A104" s="14"/>
      <c r="B104" s="14"/>
      <c r="C104" s="14" t="s">
        <v>429</v>
      </c>
      <c r="D104" s="14"/>
      <c r="E104" s="14"/>
      <c r="F104" s="16">
        <f>Source!AO39</f>
        <v>278.54</v>
      </c>
      <c r="G104" s="32">
        <f>Source!DG39</f>
      </c>
      <c r="H104" s="16">
        <f>ROUND((Source!CT39/IF(Source!BA39&lt;&gt;0,Source!BA39,1)*Source!I39),2)</f>
        <v>250.69</v>
      </c>
      <c r="I104" s="14"/>
      <c r="J104" s="14">
        <f>Source!BA39</f>
        <v>17.84</v>
      </c>
      <c r="K104" s="16">
        <f>Source!S39</f>
        <v>4472.24</v>
      </c>
      <c r="L104" s="14"/>
    </row>
    <row r="105" spans="1:12" ht="15">
      <c r="A105" s="14"/>
      <c r="B105" s="14"/>
      <c r="C105" s="14" t="s">
        <v>107</v>
      </c>
      <c r="D105" s="14"/>
      <c r="E105" s="14"/>
      <c r="F105" s="16">
        <f>Source!AM39</f>
        <v>6.57</v>
      </c>
      <c r="G105" s="32">
        <f>Source!DE39</f>
      </c>
      <c r="H105" s="16">
        <f>ROUND((Source!CR39/IF(Source!BB39&lt;&gt;0,Source!BB39,1)*Source!I39),2)</f>
        <v>5.91</v>
      </c>
      <c r="I105" s="14"/>
      <c r="J105" s="14">
        <f>Source!BB39</f>
        <v>6.04</v>
      </c>
      <c r="K105" s="16">
        <f>Source!Q39</f>
        <v>35.71</v>
      </c>
      <c r="L105" s="14"/>
    </row>
    <row r="106" spans="1:12" ht="15">
      <c r="A106" s="14"/>
      <c r="B106" s="14"/>
      <c r="C106" s="14" t="s">
        <v>434</v>
      </c>
      <c r="D106" s="14"/>
      <c r="E106" s="14"/>
      <c r="F106" s="16">
        <f>Source!AN39</f>
        <v>0.95</v>
      </c>
      <c r="G106" s="32">
        <f>Source!DF39</f>
      </c>
      <c r="H106" s="40">
        <f>ROUND((Source!CS39/IF(Source!BS39&lt;&gt;0,Source!BS39,1)*Source!I39),2)</f>
        <v>0.86</v>
      </c>
      <c r="I106" s="14"/>
      <c r="J106" s="14">
        <f>Source!BS39</f>
        <v>17.84</v>
      </c>
      <c r="K106" s="40">
        <f>Source!R39</f>
        <v>15.25</v>
      </c>
      <c r="L106" s="14"/>
    </row>
    <row r="107" spans="1:12" ht="15">
      <c r="A107" s="14"/>
      <c r="B107" s="14"/>
      <c r="C107" s="14" t="s">
        <v>435</v>
      </c>
      <c r="D107" s="14"/>
      <c r="E107" s="14"/>
      <c r="F107" s="16">
        <f>Source!AL39</f>
        <v>1978.5</v>
      </c>
      <c r="G107" s="32">
        <f>Source!DD39</f>
      </c>
      <c r="H107" s="16">
        <f>ROUND((Source!CQ39/IF(Source!BC39&lt;&gt;0,Source!BC39,1)*Source!I39),2)</f>
        <v>1780.65</v>
      </c>
      <c r="I107" s="14"/>
      <c r="J107" s="14">
        <f>Source!BC39</f>
        <v>4.33</v>
      </c>
      <c r="K107" s="16">
        <f>Source!P39</f>
        <v>7710.21</v>
      </c>
      <c r="L107" s="14"/>
    </row>
    <row r="108" spans="1:24" ht="15">
      <c r="A108" s="14"/>
      <c r="B108" s="14"/>
      <c r="C108" s="14" t="s">
        <v>430</v>
      </c>
      <c r="D108" s="17" t="s">
        <v>431</v>
      </c>
      <c r="E108" s="14"/>
      <c r="F108" s="16">
        <f>Source!BZ39</f>
        <v>115</v>
      </c>
      <c r="G108" s="14"/>
      <c r="H108" s="16">
        <f>X108+X111+X112+X113</f>
        <v>289.28</v>
      </c>
      <c r="I108" s="14" t="str">
        <f>Source!FV39</f>
        <v>((*0.85))</v>
      </c>
      <c r="J108" s="16">
        <f>Source!AT39</f>
        <v>98</v>
      </c>
      <c r="K108" s="16">
        <f>Source!X39+Source!X40+Source!X41+Source!X42</f>
        <v>4397.74</v>
      </c>
      <c r="L108" s="14"/>
      <c r="X108">
        <f>ROUND((Source!FX39/100)*(ROUND((Source!CT39/IF(Source!BA39&lt;&gt;0,Source!BA39,1)*Source!I39),2)+ROUND((Source!CS39/IF(Source!BS39&lt;&gt;0,Source!BS39,1)*Source!I39),2)),2)</f>
        <v>289.28</v>
      </c>
    </row>
    <row r="109" spans="1:25" ht="15">
      <c r="A109" s="14"/>
      <c r="B109" s="14"/>
      <c r="C109" s="14" t="s">
        <v>123</v>
      </c>
      <c r="D109" s="17" t="s">
        <v>431</v>
      </c>
      <c r="E109" s="14"/>
      <c r="F109" s="16">
        <f>Source!CA39</f>
        <v>90</v>
      </c>
      <c r="G109" s="14"/>
      <c r="H109" s="16">
        <f>Y109+Y111+Y112+Y113</f>
        <v>226.4</v>
      </c>
      <c r="I109" s="14" t="str">
        <f>Source!FW39</f>
        <v>((*0.8))</v>
      </c>
      <c r="J109" s="16">
        <f>Source!AU39</f>
        <v>72</v>
      </c>
      <c r="K109" s="16">
        <f>Source!Y39+Source!Y40+Source!Y41+Source!Y42</f>
        <v>3230.99</v>
      </c>
      <c r="L109" s="14"/>
      <c r="Y109">
        <f>ROUND((Source!FY39/100)*(ROUND((Source!CT39/IF(Source!BA39&lt;&gt;0,Source!BA39,1)*Source!I39),2)+ROUND((Source!CS39/IF(Source!BS39&lt;&gt;0,Source!BS39,1)*Source!I39),2)),2)</f>
        <v>226.4</v>
      </c>
    </row>
    <row r="110" spans="1:12" ht="15">
      <c r="A110" s="14"/>
      <c r="B110" s="14"/>
      <c r="C110" s="14" t="s">
        <v>432</v>
      </c>
      <c r="D110" s="17" t="s">
        <v>433</v>
      </c>
      <c r="E110" s="14">
        <f>Source!AQ39</f>
        <v>35.08</v>
      </c>
      <c r="F110" s="14"/>
      <c r="G110" s="32">
        <f>Source!DI39</f>
      </c>
      <c r="H110" s="14"/>
      <c r="I110" s="14"/>
      <c r="J110" s="14"/>
      <c r="K110" s="14"/>
      <c r="L110" s="16">
        <f>Source!U39</f>
        <v>31.572</v>
      </c>
    </row>
    <row r="111" spans="1:25" ht="30">
      <c r="A111" s="29"/>
      <c r="B111" s="29" t="str">
        <f>Source!F40</f>
        <v>407-0013</v>
      </c>
      <c r="C111" s="30" t="str">
        <f>Source!G40</f>
        <v>Земля растительная механизированной заготовки</v>
      </c>
      <c r="D111" s="31" t="str">
        <f>Source!H40</f>
        <v>м3</v>
      </c>
      <c r="E111" s="14">
        <f>ROUND(Source!I40,6)</f>
        <v>-13.5</v>
      </c>
      <c r="F111" s="16">
        <f>IF(Source!AL40=0,Source!AK40,Source!AL40)</f>
        <v>131.9</v>
      </c>
      <c r="G111" s="32">
        <f>Source!DD40</f>
      </c>
      <c r="H111" s="41">
        <f>ROUND((Source!CR40/IF(Source!BB40&lt;&gt;0,Source!BB40,1)*Source!I40),2)+ROUND((Source!CQ40/IF(Source!BC40&lt;&gt;0,Source!BC40,1)*Source!I40),2)+ROUND((Source!CT40/IF(Source!BA40&lt;&gt;0,Source!BA40,1)*Source!I40),2)</f>
        <v>-1780.65</v>
      </c>
      <c r="I111" s="32" t="str">
        <f>IF(Source!BO40&lt;&gt;"",Source!BO40,"")</f>
        <v>407-0013</v>
      </c>
      <c r="J111" s="14">
        <f>Source!BC40</f>
        <v>4.33</v>
      </c>
      <c r="K111" s="16">
        <f>Source!O40</f>
        <v>-7710.21</v>
      </c>
      <c r="L111" s="14"/>
      <c r="N111">
        <f>ROUND((Source!CT40/IF(Source!BA40&lt;&gt;0,Source!BA40,1)*Source!I40),2)</f>
        <v>0</v>
      </c>
      <c r="O111">
        <f>IF(Source!BI40=1,(ROUND((Source!CR40/IF(Source!BB40&lt;&gt;0,Source!BB40,1)*Source!I40),2)+ROUND((Source!CQ40/IF(Source!BC40&lt;&gt;0,Source!BC40,1)*Source!I40),2)+ROUND((Source!CT40/IF(Source!BA40&lt;&gt;0,Source!BA40,1)*Source!I40),2)),0)</f>
        <v>-1780.65</v>
      </c>
      <c r="P111">
        <f>IF(Source!BI40=2,(ROUND((Source!CR40/IF(Source!BB40&lt;&gt;0,Source!BB40,1)*Source!I40),2)+ROUND((Source!CQ40/IF(Source!BC40&lt;&gt;0,Source!BC40,1)*Source!I40),2)+ROUND((Source!CT40/IF(Source!BA40&lt;&gt;0,Source!BA40,1)*Source!I40),2)),0)</f>
        <v>0</v>
      </c>
      <c r="Q111">
        <f>IF(Source!BI40=3,(ROUND((Source!CR40/IF(Source!BB40&lt;&gt;0,Source!BB40,1)*Source!I40),2)+ROUND((Source!CQ40/IF(Source!BC40&lt;&gt;0,Source!BC40,1)*Source!I40),2)+ROUND((Source!CT40/IF(Source!BA40&lt;&gt;0,Source!BA40,1)*Source!I40),2)),0)</f>
        <v>0</v>
      </c>
      <c r="R111">
        <f>IF(Source!BI40=4,(ROUND((Source!CR40/IF(Source!BB40&lt;&gt;0,Source!BB40,1)*Source!I40),2)+ROUND((Source!CQ40/IF(Source!BC40&lt;&gt;0,Source!BC40,1)*Source!I40),2)+ROUND((Source!CT40/IF(Source!BA40&lt;&gt;0,Source!BA40,1)*Source!I40),2)),0)</f>
        <v>0</v>
      </c>
      <c r="S111">
        <f>IF(Source!BI40=1,Source!O40+Source!X40+Source!Y40,0)</f>
        <v>-7710.21</v>
      </c>
      <c r="T111">
        <f>IF(Source!BI40=2,Source!O40+Source!X40+Source!Y40,0)</f>
        <v>0</v>
      </c>
      <c r="U111">
        <f>IF(Source!BI40=3,Source!O40+Source!X40+Source!Y40,0)</f>
        <v>0</v>
      </c>
      <c r="V111">
        <f>IF(Source!BI40=4,Source!O40+Source!X40+Source!Y40,0)</f>
        <v>0</v>
      </c>
      <c r="W111">
        <f>ROUND((Source!CS40/IF(Source!BS40&lt;&gt;0,Source!BS40,1)*Source!I40),2)</f>
        <v>0</v>
      </c>
      <c r="X111">
        <f>ROUND((Source!FX40/100)*(ROUND((Source!CT40/IF(Source!BA40&lt;&gt;0,Source!BA40,1)*Source!I40),2)+ROUND((Source!CS40/IF(Source!BS40&lt;&gt;0,Source!BS40,1)*Source!I40),2)),2)</f>
        <v>0</v>
      </c>
      <c r="Y111">
        <f>ROUND((Source!FY40/100)*(ROUND((Source!CT40/IF(Source!BA40&lt;&gt;0,Source!BA40,1)*Source!I40),2)+ROUND((Source!CS40/IF(Source!BS40&lt;&gt;0,Source!BS40,1)*Source!I40),2)),2)</f>
        <v>0</v>
      </c>
    </row>
    <row r="112" spans="1:25" ht="30">
      <c r="A112" s="29"/>
      <c r="B112" s="29" t="str">
        <f>Source!F41</f>
        <v>407-0013</v>
      </c>
      <c r="C112" s="30" t="str">
        <f>Source!G41</f>
        <v>Земля растительная механизированной заготовки</v>
      </c>
      <c r="D112" s="31" t="str">
        <f>Source!H41</f>
        <v>м3</v>
      </c>
      <c r="E112" s="14">
        <f>ROUND(Source!I41,6)</f>
        <v>4.5</v>
      </c>
      <c r="F112" s="16">
        <f>IF(Source!AL41=0,Source!AK41,Source!AL41)</f>
        <v>131.9</v>
      </c>
      <c r="G112" s="32">
        <f>Source!DD41</f>
      </c>
      <c r="H112" s="41">
        <f>ROUND((Source!CR41/IF(Source!BB41&lt;&gt;0,Source!BB41,1)*Source!I41),2)+ROUND((Source!CQ41/IF(Source!BC41&lt;&gt;0,Source!BC41,1)*Source!I41),2)+ROUND((Source!CT41/IF(Source!BA41&lt;&gt;0,Source!BA41,1)*Source!I41),2)</f>
        <v>593.55</v>
      </c>
      <c r="I112" s="32" t="str">
        <f>IF(Source!BO41&lt;&gt;"",Source!BO41,"")</f>
        <v>407-0013</v>
      </c>
      <c r="J112" s="14">
        <f>Source!BC41</f>
        <v>4.33</v>
      </c>
      <c r="K112" s="16">
        <f>Source!O41</f>
        <v>2570.07</v>
      </c>
      <c r="L112" s="14"/>
      <c r="N112">
        <f>ROUND((Source!CT41/IF(Source!BA41&lt;&gt;0,Source!BA41,1)*Source!I41),2)</f>
        <v>0</v>
      </c>
      <c r="O112">
        <f>IF(Source!BI41=1,(ROUND((Source!CR41/IF(Source!BB41&lt;&gt;0,Source!BB41,1)*Source!I41),2)+ROUND((Source!CQ41/IF(Source!BC41&lt;&gt;0,Source!BC41,1)*Source!I41),2)+ROUND((Source!CT41/IF(Source!BA41&lt;&gt;0,Source!BA41,1)*Source!I41),2)),0)</f>
        <v>593.55</v>
      </c>
      <c r="P112">
        <f>IF(Source!BI41=2,(ROUND((Source!CR41/IF(Source!BB41&lt;&gt;0,Source!BB41,1)*Source!I41),2)+ROUND((Source!CQ41/IF(Source!BC41&lt;&gt;0,Source!BC41,1)*Source!I41),2)+ROUND((Source!CT41/IF(Source!BA41&lt;&gt;0,Source!BA41,1)*Source!I41),2)),0)</f>
        <v>0</v>
      </c>
      <c r="Q112">
        <f>IF(Source!BI41=3,(ROUND((Source!CR41/IF(Source!BB41&lt;&gt;0,Source!BB41,1)*Source!I41),2)+ROUND((Source!CQ41/IF(Source!BC41&lt;&gt;0,Source!BC41,1)*Source!I41),2)+ROUND((Source!CT41/IF(Source!BA41&lt;&gt;0,Source!BA41,1)*Source!I41),2)),0)</f>
        <v>0</v>
      </c>
      <c r="R112">
        <f>IF(Source!BI41=4,(ROUND((Source!CR41/IF(Source!BB41&lt;&gt;0,Source!BB41,1)*Source!I41),2)+ROUND((Source!CQ41/IF(Source!BC41&lt;&gt;0,Source!BC41,1)*Source!I41),2)+ROUND((Source!CT41/IF(Source!BA41&lt;&gt;0,Source!BA41,1)*Source!I41),2)),0)</f>
        <v>0</v>
      </c>
      <c r="S112">
        <f>IF(Source!BI41=1,Source!O41+Source!X41+Source!Y41,0)</f>
        <v>2570.07</v>
      </c>
      <c r="T112">
        <f>IF(Source!BI41=2,Source!O41+Source!X41+Source!Y41,0)</f>
        <v>0</v>
      </c>
      <c r="U112">
        <f>IF(Source!BI41=3,Source!O41+Source!X41+Source!Y41,0)</f>
        <v>0</v>
      </c>
      <c r="V112">
        <f>IF(Source!BI41=4,Source!O41+Source!X41+Source!Y41,0)</f>
        <v>0</v>
      </c>
      <c r="W112">
        <f>ROUND((Source!CS41/IF(Source!BS41&lt;&gt;0,Source!BS41,1)*Source!I41),2)</f>
        <v>0</v>
      </c>
      <c r="X112">
        <f>ROUND((Source!FX41/100)*(ROUND((Source!CT41/IF(Source!BA41&lt;&gt;0,Source!BA41,1)*Source!I41),2)+ROUND((Source!CS41/IF(Source!BS41&lt;&gt;0,Source!BS41,1)*Source!I41),2)),2)</f>
        <v>0</v>
      </c>
      <c r="Y112">
        <f>ROUND((Source!FY41/100)*(ROUND((Source!CT41/IF(Source!BA41&lt;&gt;0,Source!BA41,1)*Source!I41),2)+ROUND((Source!CS41/IF(Source!BS41&lt;&gt;0,Source!BS41,1)*Source!I41),2)),2)</f>
        <v>0</v>
      </c>
    </row>
    <row r="113" spans="1:25" ht="30">
      <c r="A113" s="42"/>
      <c r="B113" s="42" t="str">
        <f>Source!F42</f>
        <v>408-0122</v>
      </c>
      <c r="C113" s="43" t="str">
        <f>Source!G42</f>
        <v>Песок природный для строительных работ средний</v>
      </c>
      <c r="D113" s="44" t="str">
        <f>Source!H42</f>
        <v>м3</v>
      </c>
      <c r="E113" s="34">
        <f>ROUND(Source!I42,6)</f>
        <v>4.5</v>
      </c>
      <c r="F113" s="37">
        <f>IF(Source!AL42=0,Source!AK42,Source!AL42)</f>
        <v>55.26</v>
      </c>
      <c r="G113" s="36">
        <f>Source!DD42</f>
      </c>
      <c r="H113" s="45">
        <f>ROUND((Source!CR42/IF(Source!BB42&lt;&gt;0,Source!BB42,1)*Source!I42),2)+ROUND((Source!CQ42/IF(Source!BC42&lt;&gt;0,Source!BC42,1)*Source!I42),2)+ROUND((Source!CT42/IF(Source!BA42&lt;&gt;0,Source!BA42,1)*Source!I42),2)</f>
        <v>248.67</v>
      </c>
      <c r="I113" s="36" t="str">
        <f>IF(Source!BO42&lt;&gt;"",Source!BO42,"")</f>
        <v>408-0122</v>
      </c>
      <c r="J113" s="34">
        <f>Source!BC42</f>
        <v>9.25</v>
      </c>
      <c r="K113" s="37">
        <f>Source!O42</f>
        <v>2300.2</v>
      </c>
      <c r="L113" s="34"/>
      <c r="N113">
        <f>ROUND((Source!CT42/IF(Source!BA42&lt;&gt;0,Source!BA42,1)*Source!I42),2)</f>
        <v>0</v>
      </c>
      <c r="O113">
        <f>IF(Source!BI42=1,(ROUND((Source!CR42/IF(Source!BB42&lt;&gt;0,Source!BB42,1)*Source!I42),2)+ROUND((Source!CQ42/IF(Source!BC42&lt;&gt;0,Source!BC42,1)*Source!I42),2)+ROUND((Source!CT42/IF(Source!BA42&lt;&gt;0,Source!BA42,1)*Source!I42),2)),0)</f>
        <v>248.67</v>
      </c>
      <c r="P113">
        <f>IF(Source!BI42=2,(ROUND((Source!CR42/IF(Source!BB42&lt;&gt;0,Source!BB42,1)*Source!I42),2)+ROUND((Source!CQ42/IF(Source!BC42&lt;&gt;0,Source!BC42,1)*Source!I42),2)+ROUND((Source!CT42/IF(Source!BA42&lt;&gt;0,Source!BA42,1)*Source!I42),2)),0)</f>
        <v>0</v>
      </c>
      <c r="Q113">
        <f>IF(Source!BI42=3,(ROUND((Source!CR42/IF(Source!BB42&lt;&gt;0,Source!BB42,1)*Source!I42),2)+ROUND((Source!CQ42/IF(Source!BC42&lt;&gt;0,Source!BC42,1)*Source!I42),2)+ROUND((Source!CT42/IF(Source!BA42&lt;&gt;0,Source!BA42,1)*Source!I42),2)),0)</f>
        <v>0</v>
      </c>
      <c r="R113">
        <f>IF(Source!BI42=4,(ROUND((Source!CR42/IF(Source!BB42&lt;&gt;0,Source!BB42,1)*Source!I42),2)+ROUND((Source!CQ42/IF(Source!BC42&lt;&gt;0,Source!BC42,1)*Source!I42),2)+ROUND((Source!CT42/IF(Source!BA42&lt;&gt;0,Source!BA42,1)*Source!I42),2)),0)</f>
        <v>0</v>
      </c>
      <c r="S113">
        <f>IF(Source!BI42=1,Source!O42+Source!X42+Source!Y42,0)</f>
        <v>2300.2</v>
      </c>
      <c r="T113">
        <f>IF(Source!BI42=2,Source!O42+Source!X42+Source!Y42,0)</f>
        <v>0</v>
      </c>
      <c r="U113">
        <f>IF(Source!BI42=3,Source!O42+Source!X42+Source!Y42,0)</f>
        <v>0</v>
      </c>
      <c r="V113">
        <f>IF(Source!BI42=4,Source!O42+Source!X42+Source!Y42,0)</f>
        <v>0</v>
      </c>
      <c r="W113">
        <f>ROUND((Source!CS42/IF(Source!BS42&lt;&gt;0,Source!BS42,1)*Source!I42),2)</f>
        <v>0</v>
      </c>
      <c r="X113">
        <f>ROUND((Source!FX42/100)*(ROUND((Source!CT42/IF(Source!BA42&lt;&gt;0,Source!BA42,1)*Source!I42),2)+ROUND((Source!CS42/IF(Source!BS42&lt;&gt;0,Source!BS42,1)*Source!I42),2)),2)</f>
        <v>0</v>
      </c>
      <c r="Y113">
        <f>ROUND((Source!FY42/100)*(ROUND((Source!CT42/IF(Source!BA42&lt;&gt;0,Source!BA42,1)*Source!I42),2)+ROUND((Source!CS42/IF(Source!BS42&lt;&gt;0,Source!BS42,1)*Source!I42),2)),2)</f>
        <v>0</v>
      </c>
    </row>
    <row r="114" spans="1:23" ht="15.75">
      <c r="A114" s="14"/>
      <c r="B114" s="14"/>
      <c r="C114" s="14"/>
      <c r="D114" s="14"/>
      <c r="E114" s="14"/>
      <c r="F114" s="14"/>
      <c r="G114" s="14"/>
      <c r="H114" s="38">
        <f>ROUND((Source!CT39/IF(Source!BA39&lt;&gt;0,Source!BA39,1)*Source!I39),2)+ROUND((Source!CR39/IF(Source!BB39&lt;&gt;0,Source!BB39,1)*Source!I39),2)+H107+H108+H109+H111+H112+H113</f>
        <v>1614.4999999999998</v>
      </c>
      <c r="I114" s="39"/>
      <c r="J114" s="39"/>
      <c r="K114" s="38">
        <f>Source!S39+Source!Q39+K107+K108+K109+K111+K112+K113</f>
        <v>17006.95</v>
      </c>
      <c r="L114" s="38">
        <f>Source!U39</f>
        <v>31.572</v>
      </c>
      <c r="M114" s="33">
        <f>H114</f>
        <v>1614.4999999999998</v>
      </c>
      <c r="N114">
        <f>ROUND((Source!CT39/IF(Source!BA39&lt;&gt;0,Source!BA39,1)*Source!I39),2)</f>
        <v>250.69</v>
      </c>
      <c r="O114">
        <f>IF(Source!BI39=1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2552.9080500000005</v>
      </c>
      <c r="P114">
        <f>IF(Source!BI39=2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Q114">
        <f>IF(Source!BI39=3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R114">
        <f>IF(Source!BI39=4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S114">
        <f>IF(Source!BI39=1,Source!O39+Source!X39+Source!Y39,0)</f>
        <v>19846.89</v>
      </c>
      <c r="T114">
        <f>IF(Source!BI39=2,Source!O39+Source!X39+Source!Y39,0)</f>
        <v>0</v>
      </c>
      <c r="U114">
        <f>IF(Source!BI39=3,Source!O39+Source!X39+Source!Y39,0)</f>
        <v>0</v>
      </c>
      <c r="V114">
        <f>IF(Source!BI39=4,Source!O39+Source!X39+Source!Y39,0)</f>
        <v>0</v>
      </c>
      <c r="W114">
        <f>ROUND((Source!CS39/IF(Source!BS39&lt;&gt;0,Source!BS39,1)*Source!I39),2)</f>
        <v>0.86</v>
      </c>
    </row>
    <row r="116" spans="3:23" s="39" customFormat="1" ht="15.75">
      <c r="C116" s="39" t="s">
        <v>174</v>
      </c>
      <c r="G116" s="91">
        <f>SUM(M35:M115)</f>
        <v>20936.5</v>
      </c>
      <c r="H116" s="91"/>
      <c r="J116" s="91">
        <f>ROUND(Source!AB26+Source!AK26+Source!AL26+Source!AE26*0/100,2)</f>
        <v>220367.3</v>
      </c>
      <c r="K116" s="91"/>
      <c r="L116" s="38">
        <f>Source!AH26</f>
        <v>275.6</v>
      </c>
      <c r="N116" s="38">
        <f aca="true" t="shared" si="0" ref="N116:W116">SUM(N35:N115)</f>
        <v>2328.1600000000003</v>
      </c>
      <c r="O116" s="38">
        <f t="shared" si="0"/>
        <v>20857.374015999998</v>
      </c>
      <c r="P116" s="38">
        <f t="shared" si="0"/>
        <v>0</v>
      </c>
      <c r="Q116" s="38">
        <f t="shared" si="0"/>
        <v>0</v>
      </c>
      <c r="R116" s="38">
        <f t="shared" si="0"/>
        <v>79.094</v>
      </c>
      <c r="S116" s="38">
        <f t="shared" si="0"/>
        <v>219773.88000000006</v>
      </c>
      <c r="T116" s="38">
        <f t="shared" si="0"/>
        <v>0</v>
      </c>
      <c r="U116" s="38">
        <f t="shared" si="0"/>
        <v>0</v>
      </c>
      <c r="V116" s="38">
        <f t="shared" si="0"/>
        <v>593.4200000000001</v>
      </c>
      <c r="W116" s="39">
        <f t="shared" si="0"/>
        <v>720.97</v>
      </c>
    </row>
    <row r="118" spans="3:30" ht="18">
      <c r="C118" s="26" t="s">
        <v>428</v>
      </c>
      <c r="D118" s="89" t="str">
        <f>IF(Source!C12="1",Source!F60,Source!G60)</f>
        <v>Внутридворовая территория около д. 37</v>
      </c>
      <c r="E118" s="92"/>
      <c r="F118" s="92"/>
      <c r="G118" s="92"/>
      <c r="H118" s="92"/>
      <c r="I118" s="92"/>
      <c r="J118" s="92"/>
      <c r="K118" s="92"/>
      <c r="L118" s="92"/>
      <c r="AD118" s="28" t="str">
        <f>IF(Source!C12="1",Source!F60,Source!G60)</f>
        <v>Внутридворовая территория около д. 37</v>
      </c>
    </row>
    <row r="120" spans="1:12" ht="15">
      <c r="A120" s="29" t="str">
        <f>Source!E64</f>
        <v>13</v>
      </c>
      <c r="B120" s="29" t="str">
        <f>Source!F64</f>
        <v>68-5-1</v>
      </c>
      <c r="C120" s="30" t="str">
        <f>Source!G64</f>
        <v>Вырезка кустарника</v>
      </c>
      <c r="D120" s="31" t="str">
        <f>Source!H64</f>
        <v>шт.</v>
      </c>
      <c r="E120" s="14">
        <f>ROUND(Source!I64,6)</f>
        <v>38</v>
      </c>
      <c r="F120" s="16">
        <f>IF(Source!AK64&lt;&gt;0,Source!AK64,Source!AL64+Source!AM64+Source!AO64)</f>
        <v>4.48</v>
      </c>
      <c r="G120" s="14"/>
      <c r="H120" s="14"/>
      <c r="I120" s="32" t="str">
        <f>IF(Source!BO64&lt;&gt;"",Source!BO64,"")</f>
        <v>68-5-1</v>
      </c>
      <c r="J120" s="14"/>
      <c r="K120" s="14"/>
      <c r="L120" s="14"/>
    </row>
    <row r="121" spans="1:12" ht="15">
      <c r="A121" s="14"/>
      <c r="B121" s="14"/>
      <c r="C121" s="14" t="s">
        <v>429</v>
      </c>
      <c r="D121" s="14"/>
      <c r="E121" s="14"/>
      <c r="F121" s="16">
        <f>Source!AO64</f>
        <v>4.48</v>
      </c>
      <c r="G121" s="32">
        <f>Source!DG64</f>
      </c>
      <c r="H121" s="16">
        <f>ROUND((Source!CT64/IF(Source!BA64&lt;&gt;0,Source!BA64,1)*Source!I64),2)</f>
        <v>170.24</v>
      </c>
      <c r="I121" s="14"/>
      <c r="J121" s="14">
        <f>Source!BA64</f>
        <v>17.84</v>
      </c>
      <c r="K121" s="16">
        <f>Source!S64</f>
        <v>3037.08</v>
      </c>
      <c r="L121" s="14"/>
    </row>
    <row r="122" spans="1:24" ht="15">
      <c r="A122" s="14"/>
      <c r="B122" s="14"/>
      <c r="C122" s="14" t="s">
        <v>430</v>
      </c>
      <c r="D122" s="17" t="s">
        <v>431</v>
      </c>
      <c r="E122" s="14"/>
      <c r="F122" s="16">
        <f>Source!BZ64</f>
        <v>104</v>
      </c>
      <c r="G122" s="14"/>
      <c r="H122" s="16">
        <f>X122</f>
        <v>177.05</v>
      </c>
      <c r="I122" s="14" t="str">
        <f>Source!FV64</f>
        <v>((*0.85))</v>
      </c>
      <c r="J122" s="16">
        <f>Source!AT64</f>
        <v>88</v>
      </c>
      <c r="K122" s="16">
        <f>Source!X64</f>
        <v>2672.63</v>
      </c>
      <c r="L122" s="14"/>
      <c r="X122">
        <f>ROUND((Source!FX64/100)*(ROUND((Source!CT64/IF(Source!BA64&lt;&gt;0,Source!BA64,1)*Source!I64),2)+ROUND((Source!CS64/IF(Source!BS64&lt;&gt;0,Source!BS64,1)*Source!I64),2)),2)</f>
        <v>177.05</v>
      </c>
    </row>
    <row r="123" spans="1:25" ht="15">
      <c r="A123" s="14"/>
      <c r="B123" s="14"/>
      <c r="C123" s="14" t="s">
        <v>123</v>
      </c>
      <c r="D123" s="17" t="s">
        <v>431</v>
      </c>
      <c r="E123" s="14"/>
      <c r="F123" s="16">
        <f>Source!CA64</f>
        <v>60</v>
      </c>
      <c r="G123" s="14"/>
      <c r="H123" s="16">
        <f>Y123</f>
        <v>102.14</v>
      </c>
      <c r="I123" s="14" t="str">
        <f>Source!FW64</f>
        <v>((*0.8))</v>
      </c>
      <c r="J123" s="16">
        <f>Source!AU64</f>
        <v>48</v>
      </c>
      <c r="K123" s="16">
        <f>Source!Y64</f>
        <v>1457.8</v>
      </c>
      <c r="L123" s="14"/>
      <c r="Y123">
        <f>ROUND((Source!FY64/100)*(ROUND((Source!CT64/IF(Source!BA64&lt;&gt;0,Source!BA64,1)*Source!I64),2)+ROUND((Source!CS64/IF(Source!BS64&lt;&gt;0,Source!BS64,1)*Source!I64),2)),2)</f>
        <v>102.14</v>
      </c>
    </row>
    <row r="124" spans="1:12" ht="15">
      <c r="A124" s="34"/>
      <c r="B124" s="34"/>
      <c r="C124" s="34" t="s">
        <v>432</v>
      </c>
      <c r="D124" s="35" t="s">
        <v>433</v>
      </c>
      <c r="E124" s="34">
        <f>Source!AQ64</f>
        <v>0.53</v>
      </c>
      <c r="F124" s="34"/>
      <c r="G124" s="36">
        <f>Source!DI64</f>
      </c>
      <c r="H124" s="34"/>
      <c r="I124" s="34"/>
      <c r="J124" s="34"/>
      <c r="K124" s="34"/>
      <c r="L124" s="37">
        <f>Source!U64</f>
        <v>20.14</v>
      </c>
    </row>
    <row r="125" spans="1:23" ht="15.75">
      <c r="A125" s="14"/>
      <c r="B125" s="14"/>
      <c r="C125" s="14"/>
      <c r="D125" s="14"/>
      <c r="E125" s="14"/>
      <c r="F125" s="14"/>
      <c r="G125" s="14"/>
      <c r="H125" s="38">
        <f>ROUND((Source!CT64/IF(Source!BA64&lt;&gt;0,Source!BA64,1)*Source!I64),2)+ROUND((Source!CR64/IF(Source!BB64&lt;&gt;0,Source!BB64,1)*Source!I64),2)+H122+H123</f>
        <v>449.43</v>
      </c>
      <c r="I125" s="39"/>
      <c r="J125" s="39"/>
      <c r="K125" s="38">
        <f>Source!S64+Source!Q64+K122+K123</f>
        <v>7167.51</v>
      </c>
      <c r="L125" s="38">
        <f>Source!U64</f>
        <v>20.14</v>
      </c>
      <c r="M125" s="33">
        <f>H125</f>
        <v>449.43</v>
      </c>
      <c r="N125">
        <f>ROUND((Source!CT64/IF(Source!BA64&lt;&gt;0,Source!BA64,1)*Source!I64),2)</f>
        <v>170.24</v>
      </c>
      <c r="O125">
        <f>IF(Source!BI64=1,((((Source!CT64/IF(Source!BA64&lt;&gt;0,Source!BA64,1)*Source!I64)+(Source!CR64/IF(Source!BB64&lt;&gt;0,Source!BB64,1)*Source!I64)+(Source!CQ64/IF(Source!BC64&lt;&gt;0,Source!BC64,1)*Source!I64))+((Source!FX64/100)*((Source!CT64/IF(Source!BA64&lt;&gt;0,Source!BA64,1)*Source!I64)+(Source!CS64/IF(Source!BS64&lt;&gt;0,Source!BS64,1)*Source!I64)))+((Source!FY64/100)*((Source!CT64/IF(Source!BA64&lt;&gt;0,Source!BA64,1)*Source!I64)+(Source!CS64/IF(Source!BS64&lt;&gt;0,Source!BS64,1)*Source!I64))))),0)</f>
        <v>449.43360000000007</v>
      </c>
      <c r="P125">
        <f>IF(Source!BI64=2,((((Source!CT64/IF(Source!BA64&lt;&gt;0,Source!BA64,1)*Source!I64)+(Source!CR64/IF(Source!BB64&lt;&gt;0,Source!BB64,1)*Source!I64)+(Source!CQ64/IF(Source!BC64&lt;&gt;0,Source!BC64,1)*Source!I64))+((Source!FX64/100)*((Source!CT64/IF(Source!BA64&lt;&gt;0,Source!BA64,1)*Source!I64)+(Source!CS64/IF(Source!BS64&lt;&gt;0,Source!BS64,1)*Source!I64)))+((Source!FY64/100)*((Source!CT64/IF(Source!BA64&lt;&gt;0,Source!BA64,1)*Source!I64)+(Source!CS64/IF(Source!BS64&lt;&gt;0,Source!BS64,1)*Source!I64))))),0)</f>
        <v>0</v>
      </c>
      <c r="Q125">
        <f>IF(Source!BI64=3,((((Source!CT64/IF(Source!BA64&lt;&gt;0,Source!BA64,1)*Source!I64)+(Source!CR64/IF(Source!BB64&lt;&gt;0,Source!BB64,1)*Source!I64)+(Source!CQ64/IF(Source!BC64&lt;&gt;0,Source!BC64,1)*Source!I64))+((Source!FX64/100)*((Source!CT64/IF(Source!BA64&lt;&gt;0,Source!BA64,1)*Source!I64)+(Source!CS64/IF(Source!BS64&lt;&gt;0,Source!BS64,1)*Source!I64)))+((Source!FY64/100)*((Source!CT64/IF(Source!BA64&lt;&gt;0,Source!BA64,1)*Source!I64)+(Source!CS64/IF(Source!BS64&lt;&gt;0,Source!BS64,1)*Source!I64))))),0)</f>
        <v>0</v>
      </c>
      <c r="R125">
        <f>IF(Source!BI64=4,((((Source!CT64/IF(Source!BA64&lt;&gt;0,Source!BA64,1)*Source!I64)+(Source!CR64/IF(Source!BB64&lt;&gt;0,Source!BB64,1)*Source!I64)+(Source!CQ64/IF(Source!BC64&lt;&gt;0,Source!BC64,1)*Source!I64))+((Source!FX64/100)*((Source!CT64/IF(Source!BA64&lt;&gt;0,Source!BA64,1)*Source!I64)+(Source!CS64/IF(Source!BS64&lt;&gt;0,Source!BS64,1)*Source!I64)))+((Source!FY64/100)*((Source!CT64/IF(Source!BA64&lt;&gt;0,Source!BA64,1)*Source!I64)+(Source!CS64/IF(Source!BS64&lt;&gt;0,Source!BS64,1)*Source!I64))))),0)</f>
        <v>0</v>
      </c>
      <c r="S125">
        <f>IF(Source!BI64=1,Source!O64+Source!X64+Source!Y64,0)</f>
        <v>7167.51</v>
      </c>
      <c r="T125">
        <f>IF(Source!BI64=2,Source!O64+Source!X64+Source!Y64,0)</f>
        <v>0</v>
      </c>
      <c r="U125">
        <f>IF(Source!BI64=3,Source!O64+Source!X64+Source!Y64,0)</f>
        <v>0</v>
      </c>
      <c r="V125">
        <f>IF(Source!BI64=4,Source!O64+Source!X64+Source!Y64,0)</f>
        <v>0</v>
      </c>
      <c r="W125">
        <f>ROUND((Source!CS64/IF(Source!BS64&lt;&gt;0,Source!BS64,1)*Source!I64),2)</f>
        <v>0</v>
      </c>
    </row>
    <row r="126" spans="1:12" ht="45">
      <c r="A126" s="29" t="str">
        <f>Source!E65</f>
        <v>14</v>
      </c>
      <c r="B126" s="29" t="str">
        <f>Source!F65</f>
        <v>68-6-2</v>
      </c>
      <c r="C126" s="30" t="str">
        <f>Source!G65</f>
        <v>Омоложение живых изгородей: мягких с обрезкой побегов на пень до 100 %</v>
      </c>
      <c r="D126" s="31" t="str">
        <f>Source!H65</f>
        <v>м</v>
      </c>
      <c r="E126" s="14">
        <f>ROUND(Source!I65,6)</f>
        <v>94</v>
      </c>
      <c r="F126" s="16">
        <f>IF(Source!AK65&lt;&gt;0,Source!AK65,Source!AL65+Source!AM65+Source!AO65)</f>
        <v>1.92</v>
      </c>
      <c r="G126" s="14"/>
      <c r="H126" s="14"/>
      <c r="I126" s="32" t="str">
        <f>IF(Source!BO65&lt;&gt;"",Source!BO65,"")</f>
        <v>68-6-2</v>
      </c>
      <c r="J126" s="14"/>
      <c r="K126" s="14"/>
      <c r="L126" s="14"/>
    </row>
    <row r="127" spans="1:12" ht="15">
      <c r="A127" s="14"/>
      <c r="B127" s="14"/>
      <c r="C127" s="14" t="s">
        <v>429</v>
      </c>
      <c r="D127" s="14"/>
      <c r="E127" s="14"/>
      <c r="F127" s="16">
        <f>Source!AO65</f>
        <v>1.92</v>
      </c>
      <c r="G127" s="32">
        <f>Source!DG65</f>
      </c>
      <c r="H127" s="16">
        <f>ROUND((Source!CT65/IF(Source!BA65&lt;&gt;0,Source!BA65,1)*Source!I65),2)</f>
        <v>180.48</v>
      </c>
      <c r="I127" s="14"/>
      <c r="J127" s="14">
        <f>Source!BA65</f>
        <v>17.84</v>
      </c>
      <c r="K127" s="16">
        <f>Source!S65</f>
        <v>3219.76</v>
      </c>
      <c r="L127" s="14"/>
    </row>
    <row r="128" spans="1:24" ht="15">
      <c r="A128" s="14"/>
      <c r="B128" s="14"/>
      <c r="C128" s="14" t="s">
        <v>430</v>
      </c>
      <c r="D128" s="17" t="s">
        <v>431</v>
      </c>
      <c r="E128" s="14"/>
      <c r="F128" s="16">
        <f>Source!BZ65</f>
        <v>104</v>
      </c>
      <c r="G128" s="14"/>
      <c r="H128" s="16">
        <f>X128</f>
        <v>187.7</v>
      </c>
      <c r="I128" s="14" t="str">
        <f>Source!FV65</f>
        <v>((*0.85))</v>
      </c>
      <c r="J128" s="16">
        <f>Source!AT65</f>
        <v>88</v>
      </c>
      <c r="K128" s="16">
        <f>Source!X65</f>
        <v>2833.39</v>
      </c>
      <c r="L128" s="14"/>
      <c r="X128">
        <f>ROUND((Source!FX65/100)*(ROUND((Source!CT65/IF(Source!BA65&lt;&gt;0,Source!BA65,1)*Source!I65),2)+ROUND((Source!CS65/IF(Source!BS65&lt;&gt;0,Source!BS65,1)*Source!I65),2)),2)</f>
        <v>187.7</v>
      </c>
    </row>
    <row r="129" spans="1:25" ht="15">
      <c r="A129" s="14"/>
      <c r="B129" s="14"/>
      <c r="C129" s="14" t="s">
        <v>123</v>
      </c>
      <c r="D129" s="17" t="s">
        <v>431</v>
      </c>
      <c r="E129" s="14"/>
      <c r="F129" s="16">
        <f>Source!CA65</f>
        <v>60</v>
      </c>
      <c r="G129" s="14"/>
      <c r="H129" s="16">
        <f>Y129</f>
        <v>108.29</v>
      </c>
      <c r="I129" s="14" t="str">
        <f>Source!FW65</f>
        <v>((*0.8))</v>
      </c>
      <c r="J129" s="16">
        <f>Source!AU65</f>
        <v>48</v>
      </c>
      <c r="K129" s="16">
        <f>Source!Y65</f>
        <v>1545.48</v>
      </c>
      <c r="L129" s="14"/>
      <c r="Y129">
        <f>ROUND((Source!FY65/100)*(ROUND((Source!CT65/IF(Source!BA65&lt;&gt;0,Source!BA65,1)*Source!I65),2)+ROUND((Source!CS65/IF(Source!BS65&lt;&gt;0,Source!BS65,1)*Source!I65),2)),2)</f>
        <v>108.29</v>
      </c>
    </row>
    <row r="130" spans="1:12" ht="15">
      <c r="A130" s="34"/>
      <c r="B130" s="34"/>
      <c r="C130" s="34" t="s">
        <v>432</v>
      </c>
      <c r="D130" s="35" t="s">
        <v>433</v>
      </c>
      <c r="E130" s="34">
        <f>Source!AQ65</f>
        <v>0.25</v>
      </c>
      <c r="F130" s="34"/>
      <c r="G130" s="36">
        <f>Source!DI65</f>
      </c>
      <c r="H130" s="34"/>
      <c r="I130" s="34"/>
      <c r="J130" s="34"/>
      <c r="K130" s="34"/>
      <c r="L130" s="37">
        <f>Source!U65</f>
        <v>23.5</v>
      </c>
    </row>
    <row r="131" spans="1:23" ht="15.75">
      <c r="A131" s="14"/>
      <c r="B131" s="14"/>
      <c r="C131" s="14"/>
      <c r="D131" s="14"/>
      <c r="E131" s="14"/>
      <c r="F131" s="14"/>
      <c r="G131" s="14"/>
      <c r="H131" s="38">
        <f>ROUND((Source!CT65/IF(Source!BA65&lt;&gt;0,Source!BA65,1)*Source!I65),2)+ROUND((Source!CR65/IF(Source!BB65&lt;&gt;0,Source!BB65,1)*Source!I65),2)+H128+H129</f>
        <v>476.46999999999997</v>
      </c>
      <c r="I131" s="39"/>
      <c r="J131" s="39"/>
      <c r="K131" s="38">
        <f>Source!S65+Source!Q65+K128+K129</f>
        <v>7598.629999999999</v>
      </c>
      <c r="L131" s="38">
        <f>Source!U65</f>
        <v>23.5</v>
      </c>
      <c r="M131" s="33">
        <f>H131</f>
        <v>476.46999999999997</v>
      </c>
      <c r="N131">
        <f>ROUND((Source!CT65/IF(Source!BA65&lt;&gt;0,Source!BA65,1)*Source!I65),2)</f>
        <v>180.48</v>
      </c>
      <c r="O131">
        <f>IF(Source!BI65=1,((((Source!CT65/IF(Source!BA65&lt;&gt;0,Source!BA65,1)*Source!I65)+(Source!CR65/IF(Source!BB65&lt;&gt;0,Source!BB65,1)*Source!I65)+(Source!CQ65/IF(Source!BC65&lt;&gt;0,Source!BC65,1)*Source!I65))+((Source!FX65/100)*((Source!CT65/IF(Source!BA65&lt;&gt;0,Source!BA65,1)*Source!I65)+(Source!CS65/IF(Source!BS65&lt;&gt;0,Source!BS65,1)*Source!I65)))+((Source!FY65/100)*((Source!CT65/IF(Source!BA65&lt;&gt;0,Source!BA65,1)*Source!I65)+(Source!CS65/IF(Source!BS65&lt;&gt;0,Source!BS65,1)*Source!I65))))),0)</f>
        <v>476.46720000000005</v>
      </c>
      <c r="P131">
        <f>IF(Source!BI65=2,((((Source!CT65/IF(Source!BA65&lt;&gt;0,Source!BA65,1)*Source!I65)+(Source!CR65/IF(Source!BB65&lt;&gt;0,Source!BB65,1)*Source!I65)+(Source!CQ65/IF(Source!BC65&lt;&gt;0,Source!BC65,1)*Source!I65))+((Source!FX65/100)*((Source!CT65/IF(Source!BA65&lt;&gt;0,Source!BA65,1)*Source!I65)+(Source!CS65/IF(Source!BS65&lt;&gt;0,Source!BS65,1)*Source!I65)))+((Source!FY65/100)*((Source!CT65/IF(Source!BA65&lt;&gt;0,Source!BA65,1)*Source!I65)+(Source!CS65/IF(Source!BS65&lt;&gt;0,Source!BS65,1)*Source!I65))))),0)</f>
        <v>0</v>
      </c>
      <c r="Q131">
        <f>IF(Source!BI65=3,((((Source!CT65/IF(Source!BA65&lt;&gt;0,Source!BA65,1)*Source!I65)+(Source!CR65/IF(Source!BB65&lt;&gt;0,Source!BB65,1)*Source!I65)+(Source!CQ65/IF(Source!BC65&lt;&gt;0,Source!BC65,1)*Source!I65))+((Source!FX65/100)*((Source!CT65/IF(Source!BA65&lt;&gt;0,Source!BA65,1)*Source!I65)+(Source!CS65/IF(Source!BS65&lt;&gt;0,Source!BS65,1)*Source!I65)))+((Source!FY65/100)*((Source!CT65/IF(Source!BA65&lt;&gt;0,Source!BA65,1)*Source!I65)+(Source!CS65/IF(Source!BS65&lt;&gt;0,Source!BS65,1)*Source!I65))))),0)</f>
        <v>0</v>
      </c>
      <c r="R131">
        <f>IF(Source!BI65=4,((((Source!CT65/IF(Source!BA65&lt;&gt;0,Source!BA65,1)*Source!I65)+(Source!CR65/IF(Source!BB65&lt;&gt;0,Source!BB65,1)*Source!I65)+(Source!CQ65/IF(Source!BC65&lt;&gt;0,Source!BC65,1)*Source!I65))+((Source!FX65/100)*((Source!CT65/IF(Source!BA65&lt;&gt;0,Source!BA65,1)*Source!I65)+(Source!CS65/IF(Source!BS65&lt;&gt;0,Source!BS65,1)*Source!I65)))+((Source!FY65/100)*((Source!CT65/IF(Source!BA65&lt;&gt;0,Source!BA65,1)*Source!I65)+(Source!CS65/IF(Source!BS65&lt;&gt;0,Source!BS65,1)*Source!I65))))),0)</f>
        <v>0</v>
      </c>
      <c r="S131">
        <f>IF(Source!BI65=1,Source!O65+Source!X65+Source!Y65,0)</f>
        <v>7598.629999999999</v>
      </c>
      <c r="T131">
        <f>IF(Source!BI65=2,Source!O65+Source!X65+Source!Y65,0)</f>
        <v>0</v>
      </c>
      <c r="U131">
        <f>IF(Source!BI65=3,Source!O65+Source!X65+Source!Y65,0)</f>
        <v>0</v>
      </c>
      <c r="V131">
        <f>IF(Source!BI65=4,Source!O65+Source!X65+Source!Y65,0)</f>
        <v>0</v>
      </c>
      <c r="W131">
        <f>ROUND((Source!CS65/IF(Source!BS65&lt;&gt;0,Source!BS65,1)*Source!I65),2)</f>
        <v>0</v>
      </c>
    </row>
    <row r="132" spans="1:12" ht="30">
      <c r="A132" s="29" t="str">
        <f>Source!E66</f>
        <v>15</v>
      </c>
      <c r="B132" s="29" t="str">
        <f>Source!F66</f>
        <v>07-01-055-11</v>
      </c>
      <c r="C132" s="30" t="str">
        <f>Source!G66</f>
        <v>Демонтаж столбов</v>
      </c>
      <c r="D132" s="31" t="str">
        <f>Source!H66</f>
        <v>100 шт.</v>
      </c>
      <c r="E132" s="14">
        <f>ROUND(Source!I66,6)</f>
        <v>0.02</v>
      </c>
      <c r="F132" s="16">
        <f>IF(Source!AK66&lt;&gt;0,Source!AK66,Source!AL66+Source!AM66+Source!AO66)</f>
        <v>17168.37</v>
      </c>
      <c r="G132" s="14"/>
      <c r="H132" s="14"/>
      <c r="I132" s="32" t="str">
        <f>IF(Source!BO66&lt;&gt;"",Source!BO66,"")</f>
        <v>07-01-055-11</v>
      </c>
      <c r="J132" s="14"/>
      <c r="K132" s="14"/>
      <c r="L132" s="14"/>
    </row>
    <row r="133" spans="1:12" ht="15">
      <c r="A133" s="14"/>
      <c r="B133" s="14"/>
      <c r="C133" s="14" t="s">
        <v>429</v>
      </c>
      <c r="D133" s="14"/>
      <c r="E133" s="14"/>
      <c r="F133" s="16">
        <f>Source!AO66</f>
        <v>3952.45</v>
      </c>
      <c r="G133" s="32" t="str">
        <f>Source!DG66</f>
        <v>)*0,7</v>
      </c>
      <c r="H133" s="16">
        <f>ROUND((Source!CT66/IF(Source!BA66&lt;&gt;0,Source!BA66,1)*Source!I66),2)</f>
        <v>55.33</v>
      </c>
      <c r="I133" s="14"/>
      <c r="J133" s="14">
        <f>Source!BA66</f>
        <v>17.84</v>
      </c>
      <c r="K133" s="16">
        <f>Source!S66</f>
        <v>987.16</v>
      </c>
      <c r="L133" s="14"/>
    </row>
    <row r="134" spans="1:12" ht="15">
      <c r="A134" s="14"/>
      <c r="B134" s="14"/>
      <c r="C134" s="14" t="s">
        <v>107</v>
      </c>
      <c r="D134" s="14"/>
      <c r="E134" s="14"/>
      <c r="F134" s="16">
        <f>Source!AM66</f>
        <v>12098.19</v>
      </c>
      <c r="G134" s="32" t="str">
        <f>Source!DE66</f>
        <v>)*0,7</v>
      </c>
      <c r="H134" s="16">
        <f>ROUND((Source!CR66/IF(Source!BB66&lt;&gt;0,Source!BB66,1)*Source!I66),2)</f>
        <v>169.37</v>
      </c>
      <c r="I134" s="14"/>
      <c r="J134" s="14">
        <f>Source!BB66</f>
        <v>7.2</v>
      </c>
      <c r="K134" s="16">
        <f>Source!Q66</f>
        <v>1219.5</v>
      </c>
      <c r="L134" s="14"/>
    </row>
    <row r="135" spans="1:12" ht="15">
      <c r="A135" s="14"/>
      <c r="B135" s="14"/>
      <c r="C135" s="14" t="s">
        <v>434</v>
      </c>
      <c r="D135" s="14"/>
      <c r="E135" s="14"/>
      <c r="F135" s="16">
        <f>Source!AN66</f>
        <v>1380.16</v>
      </c>
      <c r="G135" s="32" t="str">
        <f>Source!DF66</f>
        <v>)*0,7</v>
      </c>
      <c r="H135" s="40">
        <f>ROUND((Source!CS66/IF(Source!BS66&lt;&gt;0,Source!BS66,1)*Source!I66),2)</f>
        <v>19.32</v>
      </c>
      <c r="I135" s="14"/>
      <c r="J135" s="14">
        <f>Source!BS66</f>
        <v>17.84</v>
      </c>
      <c r="K135" s="40">
        <f>Source!R66</f>
        <v>344.71</v>
      </c>
      <c r="L135" s="14"/>
    </row>
    <row r="136" spans="1:24" ht="15">
      <c r="A136" s="14"/>
      <c r="B136" s="14"/>
      <c r="C136" s="14" t="s">
        <v>430</v>
      </c>
      <c r="D136" s="17" t="s">
        <v>431</v>
      </c>
      <c r="E136" s="14"/>
      <c r="F136" s="16">
        <f>Source!BZ66</f>
        <v>130</v>
      </c>
      <c r="G136" s="14"/>
      <c r="H136" s="16">
        <f>X136</f>
        <v>97.05</v>
      </c>
      <c r="I136" s="14" t="str">
        <f>Source!FV66</f>
        <v>((*0.85))</v>
      </c>
      <c r="J136" s="16">
        <f>Source!AT66</f>
        <v>111</v>
      </c>
      <c r="K136" s="16">
        <f>Source!X66</f>
        <v>1478.38</v>
      </c>
      <c r="L136" s="14"/>
      <c r="X136">
        <f>ROUND((Source!FX66/100)*(ROUND((Source!CT66/IF(Source!BA66&lt;&gt;0,Source!BA66,1)*Source!I66),2)+ROUND((Source!CS66/IF(Source!BS66&lt;&gt;0,Source!BS66,1)*Source!I66),2)),2)</f>
        <v>97.05</v>
      </c>
    </row>
    <row r="137" spans="1:25" ht="15">
      <c r="A137" s="14"/>
      <c r="B137" s="14"/>
      <c r="C137" s="14" t="s">
        <v>123</v>
      </c>
      <c r="D137" s="17" t="s">
        <v>431</v>
      </c>
      <c r="E137" s="14"/>
      <c r="F137" s="16">
        <f>Source!CA66</f>
        <v>85</v>
      </c>
      <c r="G137" s="14"/>
      <c r="H137" s="16">
        <f>Y137</f>
        <v>63.45</v>
      </c>
      <c r="I137" s="14" t="str">
        <f>Source!FW66</f>
        <v>((*0.8))</v>
      </c>
      <c r="J137" s="16">
        <f>Source!AU66</f>
        <v>68</v>
      </c>
      <c r="K137" s="16">
        <f>Source!Y66</f>
        <v>905.67</v>
      </c>
      <c r="L137" s="14"/>
      <c r="Y137">
        <f>ROUND((Source!FY66/100)*(ROUND((Source!CT66/IF(Source!BA66&lt;&gt;0,Source!BA66,1)*Source!I66),2)+ROUND((Source!CS66/IF(Source!BS66&lt;&gt;0,Source!BS66,1)*Source!I66),2)),2)</f>
        <v>63.45</v>
      </c>
    </row>
    <row r="138" spans="1:12" ht="15">
      <c r="A138" s="34"/>
      <c r="B138" s="34"/>
      <c r="C138" s="34" t="s">
        <v>432</v>
      </c>
      <c r="D138" s="35" t="s">
        <v>433</v>
      </c>
      <c r="E138" s="34">
        <f>Source!AQ66</f>
        <v>430.55</v>
      </c>
      <c r="F138" s="34"/>
      <c r="G138" s="36" t="str">
        <f>Source!DI66</f>
        <v>)*0,7</v>
      </c>
      <c r="H138" s="34"/>
      <c r="I138" s="34"/>
      <c r="J138" s="34"/>
      <c r="K138" s="34"/>
      <c r="L138" s="37">
        <f>Source!U66</f>
        <v>6.0277</v>
      </c>
    </row>
    <row r="139" spans="1:23" ht="15.75">
      <c r="A139" s="14"/>
      <c r="B139" s="14"/>
      <c r="C139" s="14"/>
      <c r="D139" s="14"/>
      <c r="E139" s="14"/>
      <c r="F139" s="14"/>
      <c r="G139" s="14"/>
      <c r="H139" s="38">
        <f>ROUND((Source!CT66/IF(Source!BA66&lt;&gt;0,Source!BA66,1)*Source!I66),2)+ROUND((Source!CR66/IF(Source!BB66&lt;&gt;0,Source!BB66,1)*Source!I66),2)+H136+H137</f>
        <v>385.2</v>
      </c>
      <c r="I139" s="39"/>
      <c r="J139" s="39"/>
      <c r="K139" s="38">
        <f>Source!S66+Source!Q66+K136+K137</f>
        <v>4590.71</v>
      </c>
      <c r="L139" s="38">
        <f>Source!U66</f>
        <v>6.0277</v>
      </c>
      <c r="M139" s="33">
        <f>H139</f>
        <v>385.2</v>
      </c>
      <c r="N139">
        <f>ROUND((Source!CT66/IF(Source!BA66&lt;&gt;0,Source!BA66,1)*Source!I66),2)</f>
        <v>55.33</v>
      </c>
      <c r="O139">
        <f>IF(Source!BI66=1,((((Source!CT66/IF(Source!BA66&lt;&gt;0,Source!BA66,1)*Source!I66)+(Source!CR66/IF(Source!BB66&lt;&gt;0,Source!BB66,1)*Source!I66)+(Source!CQ66/IF(Source!BC66&lt;&gt;0,Source!BC66,1)*Source!I66))+((Source!FX66/100)*((Source!CT66/IF(Source!BA66&lt;&gt;0,Source!BA66,1)*Source!I66)+(Source!CS66/IF(Source!BS66&lt;&gt;0,Source!BS66,1)*Source!I66)))+((Source!FY66/100)*((Source!CT66/IF(Source!BA66&lt;&gt;0,Source!BA66,1)*Source!I66)+(Source!CS66/IF(Source!BS66&lt;&gt;0,Source!BS66,1)*Source!I66))))),0)</f>
        <v>385.22052099999996</v>
      </c>
      <c r="P139">
        <f>IF(Source!BI66=2,((((Source!CT66/IF(Source!BA66&lt;&gt;0,Source!BA66,1)*Source!I66)+(Source!CR66/IF(Source!BB66&lt;&gt;0,Source!BB66,1)*Source!I66)+(Source!CQ66/IF(Source!BC66&lt;&gt;0,Source!BC66,1)*Source!I66))+((Source!FX66/100)*((Source!CT66/IF(Source!BA66&lt;&gt;0,Source!BA66,1)*Source!I66)+(Source!CS66/IF(Source!BS66&lt;&gt;0,Source!BS66,1)*Source!I66)))+((Source!FY66/100)*((Source!CT66/IF(Source!BA66&lt;&gt;0,Source!BA66,1)*Source!I66)+(Source!CS66/IF(Source!BS66&lt;&gt;0,Source!BS66,1)*Source!I66))))),0)</f>
        <v>0</v>
      </c>
      <c r="Q139">
        <f>IF(Source!BI66=3,((((Source!CT66/IF(Source!BA66&lt;&gt;0,Source!BA66,1)*Source!I66)+(Source!CR66/IF(Source!BB66&lt;&gt;0,Source!BB66,1)*Source!I66)+(Source!CQ66/IF(Source!BC66&lt;&gt;0,Source!BC66,1)*Source!I66))+((Source!FX66/100)*((Source!CT66/IF(Source!BA66&lt;&gt;0,Source!BA66,1)*Source!I66)+(Source!CS66/IF(Source!BS66&lt;&gt;0,Source!BS66,1)*Source!I66)))+((Source!FY66/100)*((Source!CT66/IF(Source!BA66&lt;&gt;0,Source!BA66,1)*Source!I66)+(Source!CS66/IF(Source!BS66&lt;&gt;0,Source!BS66,1)*Source!I66))))),0)</f>
        <v>0</v>
      </c>
      <c r="R139">
        <f>IF(Source!BI66=4,((((Source!CT66/IF(Source!BA66&lt;&gt;0,Source!BA66,1)*Source!I66)+(Source!CR66/IF(Source!BB66&lt;&gt;0,Source!BB66,1)*Source!I66)+(Source!CQ66/IF(Source!BC66&lt;&gt;0,Source!BC66,1)*Source!I66))+((Source!FX66/100)*((Source!CT66/IF(Source!BA66&lt;&gt;0,Source!BA66,1)*Source!I66)+(Source!CS66/IF(Source!BS66&lt;&gt;0,Source!BS66,1)*Source!I66)))+((Source!FY66/100)*((Source!CT66/IF(Source!BA66&lt;&gt;0,Source!BA66,1)*Source!I66)+(Source!CS66/IF(Source!BS66&lt;&gt;0,Source!BS66,1)*Source!I66))))),0)</f>
        <v>0</v>
      </c>
      <c r="S139">
        <f>IF(Source!BI66=1,Source!O66+Source!X66+Source!Y66,0)</f>
        <v>4590.71</v>
      </c>
      <c r="T139">
        <f>IF(Source!BI66=2,Source!O66+Source!X66+Source!Y66,0)</f>
        <v>0</v>
      </c>
      <c r="U139">
        <f>IF(Source!BI66=3,Source!O66+Source!X66+Source!Y66,0)</f>
        <v>0</v>
      </c>
      <c r="V139">
        <f>IF(Source!BI66=4,Source!O66+Source!X66+Source!Y66,0)</f>
        <v>0</v>
      </c>
      <c r="W139">
        <f>ROUND((Source!CS66/IF(Source!BS66&lt;&gt;0,Source!BS66,1)*Source!I66),2)</f>
        <v>19.32</v>
      </c>
    </row>
    <row r="140" spans="1:12" ht="30">
      <c r="A140" s="29" t="str">
        <f>Source!E67</f>
        <v>16</v>
      </c>
      <c r="B140" s="29" t="str">
        <f>Source!F67</f>
        <v>68-4-2</v>
      </c>
      <c r="C140" s="30" t="str">
        <f>Source!G67</f>
        <v>Выкашивание газонов: газонокосилкой</v>
      </c>
      <c r="D140" s="31" t="str">
        <f>Source!H67</f>
        <v>100 м2</v>
      </c>
      <c r="E140" s="14">
        <f>ROUND(Source!I67,6)</f>
        <v>42.3</v>
      </c>
      <c r="F140" s="16">
        <f>IF(Source!AK67&lt;&gt;0,Source!AK67,Source!AL67+Source!AM67+Source!AO67)</f>
        <v>20.09</v>
      </c>
      <c r="G140" s="14"/>
      <c r="H140" s="14"/>
      <c r="I140" s="32" t="str">
        <f>IF(Source!BO67&lt;&gt;"",Source!BO67,"")</f>
        <v>68-4-2</v>
      </c>
      <c r="J140" s="14"/>
      <c r="K140" s="14"/>
      <c r="L140" s="14"/>
    </row>
    <row r="141" spans="1:12" ht="15">
      <c r="A141" s="14"/>
      <c r="B141" s="14"/>
      <c r="C141" s="14" t="s">
        <v>429</v>
      </c>
      <c r="D141" s="14"/>
      <c r="E141" s="14"/>
      <c r="F141" s="16">
        <f>Source!AO67</f>
        <v>7.71</v>
      </c>
      <c r="G141" s="32">
        <f>Source!DG67</f>
      </c>
      <c r="H141" s="16">
        <f>ROUND((Source!CT67/IF(Source!BA67&lt;&gt;0,Source!BA67,1)*Source!I67),2)</f>
        <v>326.13</v>
      </c>
      <c r="I141" s="14"/>
      <c r="J141" s="14">
        <f>Source!BA67</f>
        <v>17.84</v>
      </c>
      <c r="K141" s="16">
        <f>Source!S67</f>
        <v>5818.21</v>
      </c>
      <c r="L141" s="14"/>
    </row>
    <row r="142" spans="1:12" ht="15">
      <c r="A142" s="14"/>
      <c r="B142" s="14"/>
      <c r="C142" s="14" t="s">
        <v>107</v>
      </c>
      <c r="D142" s="14"/>
      <c r="E142" s="14"/>
      <c r="F142" s="16">
        <f>Source!AM67</f>
        <v>12.38</v>
      </c>
      <c r="G142" s="32">
        <f>Source!DE67</f>
      </c>
      <c r="H142" s="16">
        <f>ROUND((Source!CR67/IF(Source!BB67&lt;&gt;0,Source!BB67,1)*Source!I67),2)</f>
        <v>523.67</v>
      </c>
      <c r="I142" s="14"/>
      <c r="J142" s="14">
        <f>Source!BB67</f>
        <v>5.88</v>
      </c>
      <c r="K142" s="16">
        <f>Source!Q67</f>
        <v>3079.2</v>
      </c>
      <c r="L142" s="14"/>
    </row>
    <row r="143" spans="1:24" ht="15">
      <c r="A143" s="14"/>
      <c r="B143" s="14"/>
      <c r="C143" s="14" t="s">
        <v>430</v>
      </c>
      <c r="D143" s="17" t="s">
        <v>431</v>
      </c>
      <c r="E143" s="14"/>
      <c r="F143" s="16">
        <f>Source!BZ67</f>
        <v>104</v>
      </c>
      <c r="G143" s="14"/>
      <c r="H143" s="16">
        <f>X143</f>
        <v>339.18</v>
      </c>
      <c r="I143" s="14" t="str">
        <f>Source!FV67</f>
        <v>((*0.85))</v>
      </c>
      <c r="J143" s="16">
        <f>Source!AT67</f>
        <v>88</v>
      </c>
      <c r="K143" s="16">
        <f>Source!X67</f>
        <v>5120.02</v>
      </c>
      <c r="L143" s="14"/>
      <c r="X143">
        <f>ROUND((Source!FX67/100)*(ROUND((Source!CT67/IF(Source!BA67&lt;&gt;0,Source!BA67,1)*Source!I67),2)+ROUND((Source!CS67/IF(Source!BS67&lt;&gt;0,Source!BS67,1)*Source!I67),2)),2)</f>
        <v>339.18</v>
      </c>
    </row>
    <row r="144" spans="1:25" ht="15">
      <c r="A144" s="14"/>
      <c r="B144" s="14"/>
      <c r="C144" s="14" t="s">
        <v>123</v>
      </c>
      <c r="D144" s="17" t="s">
        <v>431</v>
      </c>
      <c r="E144" s="14"/>
      <c r="F144" s="16">
        <f>Source!CA67</f>
        <v>60</v>
      </c>
      <c r="G144" s="14"/>
      <c r="H144" s="16">
        <f>Y144</f>
        <v>195.68</v>
      </c>
      <c r="I144" s="14" t="str">
        <f>Source!FW67</f>
        <v>((*0.8))</v>
      </c>
      <c r="J144" s="16">
        <f>Source!AU67</f>
        <v>48</v>
      </c>
      <c r="K144" s="16">
        <f>Source!Y67</f>
        <v>2792.74</v>
      </c>
      <c r="L144" s="14"/>
      <c r="Y144">
        <f>ROUND((Source!FY67/100)*(ROUND((Source!CT67/IF(Source!BA67&lt;&gt;0,Source!BA67,1)*Source!I67),2)+ROUND((Source!CS67/IF(Source!BS67&lt;&gt;0,Source!BS67,1)*Source!I67),2)),2)</f>
        <v>195.68</v>
      </c>
    </row>
    <row r="145" spans="1:12" ht="15">
      <c r="A145" s="34"/>
      <c r="B145" s="34"/>
      <c r="C145" s="34" t="s">
        <v>432</v>
      </c>
      <c r="D145" s="35" t="s">
        <v>433</v>
      </c>
      <c r="E145" s="34">
        <f>Source!AQ67</f>
        <v>0.98</v>
      </c>
      <c r="F145" s="34"/>
      <c r="G145" s="36">
        <f>Source!DI67</f>
      </c>
      <c r="H145" s="34"/>
      <c r="I145" s="34"/>
      <c r="J145" s="34"/>
      <c r="K145" s="34"/>
      <c r="L145" s="37">
        <f>Source!U67</f>
        <v>41.45399999999999</v>
      </c>
    </row>
    <row r="146" spans="1:23" ht="15.75">
      <c r="A146" s="14"/>
      <c r="B146" s="14"/>
      <c r="C146" s="14"/>
      <c r="D146" s="14"/>
      <c r="E146" s="14"/>
      <c r="F146" s="14"/>
      <c r="G146" s="14"/>
      <c r="H146" s="38">
        <f>ROUND((Source!CT67/IF(Source!BA67&lt;&gt;0,Source!BA67,1)*Source!I67),2)+ROUND((Source!CR67/IF(Source!BB67&lt;&gt;0,Source!BB67,1)*Source!I67),2)+H143+H144</f>
        <v>1384.66</v>
      </c>
      <c r="I146" s="39"/>
      <c r="J146" s="39"/>
      <c r="K146" s="38">
        <f>Source!S67+Source!Q67+K143+K144</f>
        <v>16810.17</v>
      </c>
      <c r="L146" s="38">
        <f>Source!U67</f>
        <v>41.45399999999999</v>
      </c>
      <c r="M146" s="33">
        <f>H146</f>
        <v>1384.66</v>
      </c>
      <c r="N146">
        <f>ROUND((Source!CT67/IF(Source!BA67&lt;&gt;0,Source!BA67,1)*Source!I67),2)</f>
        <v>326.13</v>
      </c>
      <c r="O146">
        <f>IF(Source!BI67=1,((((Source!CT67/IF(Source!BA67&lt;&gt;0,Source!BA67,1)*Source!I67)+(Source!CR67/IF(Source!BB67&lt;&gt;0,Source!BB67,1)*Source!I67)+(Source!CQ67/IF(Source!BC67&lt;&gt;0,Source!BC67,1)*Source!I67))+((Source!FX67/100)*((Source!CT67/IF(Source!BA67&lt;&gt;0,Source!BA67,1)*Source!I67)+(Source!CS67/IF(Source!BS67&lt;&gt;0,Source!BS67,1)*Source!I67)))+((Source!FY67/100)*((Source!CT67/IF(Source!BA67&lt;&gt;0,Source!BA67,1)*Source!I67)+(Source!CS67/IF(Source!BS67&lt;&gt;0,Source!BS67,1)*Source!I67))))),0)</f>
        <v>1384.66512</v>
      </c>
      <c r="P146">
        <f>IF(Source!BI67=2,((((Source!CT67/IF(Source!BA67&lt;&gt;0,Source!BA67,1)*Source!I67)+(Source!CR67/IF(Source!BB67&lt;&gt;0,Source!BB67,1)*Source!I67)+(Source!CQ67/IF(Source!BC67&lt;&gt;0,Source!BC67,1)*Source!I67))+((Source!FX67/100)*((Source!CT67/IF(Source!BA67&lt;&gt;0,Source!BA67,1)*Source!I67)+(Source!CS67/IF(Source!BS67&lt;&gt;0,Source!BS67,1)*Source!I67)))+((Source!FY67/100)*((Source!CT67/IF(Source!BA67&lt;&gt;0,Source!BA67,1)*Source!I67)+(Source!CS67/IF(Source!BS67&lt;&gt;0,Source!BS67,1)*Source!I67))))),0)</f>
        <v>0</v>
      </c>
      <c r="Q146">
        <f>IF(Source!BI67=3,((((Source!CT67/IF(Source!BA67&lt;&gt;0,Source!BA67,1)*Source!I67)+(Source!CR67/IF(Source!BB67&lt;&gt;0,Source!BB67,1)*Source!I67)+(Source!CQ67/IF(Source!BC67&lt;&gt;0,Source!BC67,1)*Source!I67))+((Source!FX67/100)*((Source!CT67/IF(Source!BA67&lt;&gt;0,Source!BA67,1)*Source!I67)+(Source!CS67/IF(Source!BS67&lt;&gt;0,Source!BS67,1)*Source!I67)))+((Source!FY67/100)*((Source!CT67/IF(Source!BA67&lt;&gt;0,Source!BA67,1)*Source!I67)+(Source!CS67/IF(Source!BS67&lt;&gt;0,Source!BS67,1)*Source!I67))))),0)</f>
        <v>0</v>
      </c>
      <c r="R146">
        <f>IF(Source!BI67=4,((((Source!CT67/IF(Source!BA67&lt;&gt;0,Source!BA67,1)*Source!I67)+(Source!CR67/IF(Source!BB67&lt;&gt;0,Source!BB67,1)*Source!I67)+(Source!CQ67/IF(Source!BC67&lt;&gt;0,Source!BC67,1)*Source!I67))+((Source!FX67/100)*((Source!CT67/IF(Source!BA67&lt;&gt;0,Source!BA67,1)*Source!I67)+(Source!CS67/IF(Source!BS67&lt;&gt;0,Source!BS67,1)*Source!I67)))+((Source!FY67/100)*((Source!CT67/IF(Source!BA67&lt;&gt;0,Source!BA67,1)*Source!I67)+(Source!CS67/IF(Source!BS67&lt;&gt;0,Source!BS67,1)*Source!I67))))),0)</f>
        <v>0</v>
      </c>
      <c r="S146">
        <f>IF(Source!BI67=1,Source!O67+Source!X67+Source!Y67,0)</f>
        <v>16810.17</v>
      </c>
      <c r="T146">
        <f>IF(Source!BI67=2,Source!O67+Source!X67+Source!Y67,0)</f>
        <v>0</v>
      </c>
      <c r="U146">
        <f>IF(Source!BI67=3,Source!O67+Source!X67+Source!Y67,0)</f>
        <v>0</v>
      </c>
      <c r="V146">
        <f>IF(Source!BI67=4,Source!O67+Source!X67+Source!Y67,0)</f>
        <v>0</v>
      </c>
      <c r="W146">
        <f>ROUND((Source!CS67/IF(Source!BS67&lt;&gt;0,Source!BS67,1)*Source!I67),2)</f>
        <v>0</v>
      </c>
    </row>
    <row r="147" spans="1:12" ht="30">
      <c r="A147" s="29" t="str">
        <f>Source!E68</f>
        <v>17</v>
      </c>
      <c r="B147" s="29" t="str">
        <f>Source!F68</f>
        <v>Техчасть индексов</v>
      </c>
      <c r="C147" s="30" t="str">
        <f>Source!G68</f>
        <v>Погрузка  вручную</v>
      </c>
      <c r="D147" s="31" t="str">
        <f>Source!H68</f>
        <v>т</v>
      </c>
      <c r="E147" s="14">
        <f>ROUND(Source!I68,6)</f>
        <v>0.1</v>
      </c>
      <c r="F147" s="16">
        <f>IF(Source!AK68&lt;&gt;0,Source!AK68,Source!AL68+Source!AM68+Source!AO68)</f>
        <v>4.15</v>
      </c>
      <c r="G147" s="14"/>
      <c r="H147" s="14"/>
      <c r="I147" s="32">
        <f>IF(Source!BO68&lt;&gt;"",Source!BO68,"")</f>
      </c>
      <c r="J147" s="14"/>
      <c r="K147" s="14"/>
      <c r="L147" s="14"/>
    </row>
    <row r="148" spans="1:12" ht="15">
      <c r="A148" s="14"/>
      <c r="B148" s="14"/>
      <c r="C148" s="14" t="s">
        <v>429</v>
      </c>
      <c r="D148" s="14"/>
      <c r="E148" s="14"/>
      <c r="F148" s="16">
        <f>Source!AO68</f>
        <v>4.15</v>
      </c>
      <c r="G148" s="32">
        <f>Source!DG68</f>
      </c>
      <c r="H148" s="16">
        <f>ROUND((Source!CT68/IF(Source!BA68&lt;&gt;0,Source!BA68,1)*Source!I68),2)</f>
        <v>0.42</v>
      </c>
      <c r="I148" s="14"/>
      <c r="J148" s="14">
        <f>Source!BA68</f>
        <v>17.84</v>
      </c>
      <c r="K148" s="16">
        <f>Source!S68</f>
        <v>7.4</v>
      </c>
      <c r="L148" s="14"/>
    </row>
    <row r="149" spans="1:24" ht="15">
      <c r="A149" s="14"/>
      <c r="B149" s="14"/>
      <c r="C149" s="14" t="s">
        <v>430</v>
      </c>
      <c r="D149" s="17" t="s">
        <v>431</v>
      </c>
      <c r="E149" s="14"/>
      <c r="F149" s="16">
        <f>Source!BZ68</f>
        <v>100</v>
      </c>
      <c r="G149" s="14"/>
      <c r="H149" s="16">
        <f>X149</f>
        <v>0.42</v>
      </c>
      <c r="I149" s="14" t="str">
        <f>Source!FV68</f>
        <v>((*0.85))</v>
      </c>
      <c r="J149" s="16">
        <f>Source!AT68</f>
        <v>85</v>
      </c>
      <c r="K149" s="16">
        <f>Source!X68</f>
        <v>6.29</v>
      </c>
      <c r="L149" s="14"/>
      <c r="X149">
        <f>ROUND((Source!FX68/100)*(ROUND((Source!CT68/IF(Source!BA68&lt;&gt;0,Source!BA68,1)*Source!I68),2)+ROUND((Source!CS68/IF(Source!BS68&lt;&gt;0,Source!BS68,1)*Source!I68),2)),2)</f>
        <v>0.42</v>
      </c>
    </row>
    <row r="150" spans="1:25" ht="15">
      <c r="A150" s="34"/>
      <c r="B150" s="34"/>
      <c r="C150" s="34" t="s">
        <v>123</v>
      </c>
      <c r="D150" s="35" t="s">
        <v>431</v>
      </c>
      <c r="E150" s="34"/>
      <c r="F150" s="37">
        <f>Source!CA68</f>
        <v>60</v>
      </c>
      <c r="G150" s="34"/>
      <c r="H150" s="37">
        <f>Y150</f>
        <v>0.25</v>
      </c>
      <c r="I150" s="34" t="str">
        <f>Source!FW68</f>
        <v>((*0.8))</v>
      </c>
      <c r="J150" s="37">
        <f>Source!AU68</f>
        <v>48</v>
      </c>
      <c r="K150" s="37">
        <f>Source!Y68</f>
        <v>3.55</v>
      </c>
      <c r="L150" s="34"/>
      <c r="Y150">
        <f>ROUND((Source!FY68/100)*(ROUND((Source!CT68/IF(Source!BA68&lt;&gt;0,Source!BA68,1)*Source!I68),2)+ROUND((Source!CS68/IF(Source!BS68&lt;&gt;0,Source!BS68,1)*Source!I68),2)),2)</f>
        <v>0.25</v>
      </c>
    </row>
    <row r="151" spans="1:23" ht="15.75">
      <c r="A151" s="14"/>
      <c r="B151" s="14"/>
      <c r="C151" s="14"/>
      <c r="D151" s="14"/>
      <c r="E151" s="14"/>
      <c r="F151" s="14"/>
      <c r="G151" s="14"/>
      <c r="H151" s="38">
        <f>ROUND((Source!CT68/IF(Source!BA68&lt;&gt;0,Source!BA68,1)*Source!I68),2)+ROUND((Source!CR68/IF(Source!BB68&lt;&gt;0,Source!BB68,1)*Source!I68),2)+H149+H150</f>
        <v>1.0899999999999999</v>
      </c>
      <c r="I151" s="39"/>
      <c r="J151" s="39"/>
      <c r="K151" s="38">
        <f>Source!S68+Source!Q68+K149+K150</f>
        <v>17.240000000000002</v>
      </c>
      <c r="L151" s="38">
        <f>Source!U68</f>
        <v>0</v>
      </c>
      <c r="M151" s="33">
        <f>H151</f>
        <v>1.0899999999999999</v>
      </c>
      <c r="N151">
        <f>ROUND((Source!CT68/IF(Source!BA68&lt;&gt;0,Source!BA68,1)*Source!I68),2)</f>
        <v>0.42</v>
      </c>
      <c r="O151">
        <f>IF(Source!BI68=1,((((Source!CT68/IF(Source!BA68&lt;&gt;0,Source!BA68,1)*Source!I68)+(Source!CR68/IF(Source!BB68&lt;&gt;0,Source!BB68,1)*Source!I68)+(Source!CQ68/IF(Source!BC68&lt;&gt;0,Source!BC68,1)*Source!I68))+((Source!FX68/100)*((Source!CT68/IF(Source!BA68&lt;&gt;0,Source!BA68,1)*Source!I68)+(Source!CS68/IF(Source!BS68&lt;&gt;0,Source!BS68,1)*Source!I68)))+((Source!FY68/100)*((Source!CT68/IF(Source!BA68&lt;&gt;0,Source!BA68,1)*Source!I68)+(Source!CS68/IF(Source!BS68&lt;&gt;0,Source!BS68,1)*Source!I68))))),0)</f>
        <v>0</v>
      </c>
      <c r="P151">
        <f>IF(Source!BI68=2,((((Source!CT68/IF(Source!BA68&lt;&gt;0,Source!BA68,1)*Source!I68)+(Source!CR68/IF(Source!BB68&lt;&gt;0,Source!BB68,1)*Source!I68)+(Source!CQ68/IF(Source!BC68&lt;&gt;0,Source!BC68,1)*Source!I68))+((Source!FX68/100)*((Source!CT68/IF(Source!BA68&lt;&gt;0,Source!BA68,1)*Source!I68)+(Source!CS68/IF(Source!BS68&lt;&gt;0,Source!BS68,1)*Source!I68)))+((Source!FY68/100)*((Source!CT68/IF(Source!BA68&lt;&gt;0,Source!BA68,1)*Source!I68)+(Source!CS68/IF(Source!BS68&lt;&gt;0,Source!BS68,1)*Source!I68))))),0)</f>
        <v>0</v>
      </c>
      <c r="Q151">
        <f>IF(Source!BI68=3,((((Source!CT68/IF(Source!BA68&lt;&gt;0,Source!BA68,1)*Source!I68)+(Source!CR68/IF(Source!BB68&lt;&gt;0,Source!BB68,1)*Source!I68)+(Source!CQ68/IF(Source!BC68&lt;&gt;0,Source!BC68,1)*Source!I68))+((Source!FX68/100)*((Source!CT68/IF(Source!BA68&lt;&gt;0,Source!BA68,1)*Source!I68)+(Source!CS68/IF(Source!BS68&lt;&gt;0,Source!BS68,1)*Source!I68)))+((Source!FY68/100)*((Source!CT68/IF(Source!BA68&lt;&gt;0,Source!BA68,1)*Source!I68)+(Source!CS68/IF(Source!BS68&lt;&gt;0,Source!BS68,1)*Source!I68))))),0)</f>
        <v>0</v>
      </c>
      <c r="R151">
        <f>IF(Source!BI68=4,((((Source!CT68/IF(Source!BA68&lt;&gt;0,Source!BA68,1)*Source!I68)+(Source!CR68/IF(Source!BB68&lt;&gt;0,Source!BB68,1)*Source!I68)+(Source!CQ68/IF(Source!BC68&lt;&gt;0,Source!BC68,1)*Source!I68))+((Source!FX68/100)*((Source!CT68/IF(Source!BA68&lt;&gt;0,Source!BA68,1)*Source!I68)+(Source!CS68/IF(Source!BS68&lt;&gt;0,Source!BS68,1)*Source!I68)))+((Source!FY68/100)*((Source!CT68/IF(Source!BA68&lt;&gt;0,Source!BA68,1)*Source!I68)+(Source!CS68/IF(Source!BS68&lt;&gt;0,Source!BS68,1)*Source!I68))))),0)</f>
        <v>1.0790000000000002</v>
      </c>
      <c r="S151">
        <f>IF(Source!BI68=1,Source!O68+Source!X68+Source!Y68,0)</f>
        <v>0</v>
      </c>
      <c r="T151">
        <f>IF(Source!BI68=2,Source!O68+Source!X68+Source!Y68,0)</f>
        <v>0</v>
      </c>
      <c r="U151">
        <f>IF(Source!BI68=3,Source!O68+Source!X68+Source!Y68,0)</f>
        <v>0</v>
      </c>
      <c r="V151">
        <f>IF(Source!BI68=4,Source!O68+Source!X68+Source!Y68,0)</f>
        <v>17.240000000000002</v>
      </c>
      <c r="W151">
        <f>ROUND((Source!CS68/IF(Source!BS68&lt;&gt;0,Source!BS68,1)*Source!I68),2)</f>
        <v>0</v>
      </c>
    </row>
    <row r="152" spans="1:12" ht="30">
      <c r="A152" s="29" t="str">
        <f>Source!E69</f>
        <v>18</v>
      </c>
      <c r="B152" s="29" t="str">
        <f>Source!F69</f>
        <v>Техчасть индексов</v>
      </c>
      <c r="C152" s="30" t="str">
        <f>Source!G69</f>
        <v>Вывоз мусора на 10 км</v>
      </c>
      <c r="D152" s="31" t="str">
        <f>Source!H69</f>
        <v>т</v>
      </c>
      <c r="E152" s="14">
        <f>ROUND(Source!I69,6)</f>
        <v>0.1</v>
      </c>
      <c r="F152" s="16">
        <f>IF(Source!AK69&lt;&gt;0,Source!AK69,Source!AL69+Source!AM69+Source!AO69)</f>
        <v>14.63</v>
      </c>
      <c r="G152" s="14"/>
      <c r="H152" s="14"/>
      <c r="I152" s="32">
        <f>IF(Source!BO69&lt;&gt;"",Source!BO69,"")</f>
      </c>
      <c r="J152" s="14"/>
      <c r="K152" s="14"/>
      <c r="L152" s="14"/>
    </row>
    <row r="153" spans="1:12" ht="15">
      <c r="A153" s="34"/>
      <c r="B153" s="34"/>
      <c r="C153" s="34" t="s">
        <v>107</v>
      </c>
      <c r="D153" s="34"/>
      <c r="E153" s="34"/>
      <c r="F153" s="37">
        <f>Source!AM69</f>
        <v>14.63</v>
      </c>
      <c r="G153" s="36">
        <f>Source!DE69</f>
      </c>
      <c r="H153" s="37">
        <f>ROUND((Source!CR69/IF(Source!BB69&lt;&gt;0,Source!BB69,1)*Source!I69),2)</f>
        <v>1.46</v>
      </c>
      <c r="I153" s="34"/>
      <c r="J153" s="34">
        <f>Source!BB69</f>
        <v>5.32</v>
      </c>
      <c r="K153" s="37">
        <f>Source!Q69</f>
        <v>7.78</v>
      </c>
      <c r="L153" s="34"/>
    </row>
    <row r="154" spans="1:23" ht="15.75">
      <c r="A154" s="14"/>
      <c r="B154" s="14"/>
      <c r="C154" s="14"/>
      <c r="D154" s="14"/>
      <c r="E154" s="14"/>
      <c r="F154" s="14"/>
      <c r="G154" s="14"/>
      <c r="H154" s="38">
        <f>ROUND((Source!CT69/IF(Source!BA69&lt;&gt;0,Source!BA69,1)*Source!I69),2)+ROUND((Source!CR69/IF(Source!BB69&lt;&gt;0,Source!BB69,1)*Source!I69),2)</f>
        <v>1.46</v>
      </c>
      <c r="I154" s="39"/>
      <c r="J154" s="39"/>
      <c r="K154" s="38">
        <f>Source!S69+Source!Q69</f>
        <v>7.78</v>
      </c>
      <c r="L154" s="38">
        <f>Source!U69</f>
        <v>0</v>
      </c>
      <c r="M154" s="33">
        <f>H154</f>
        <v>1.46</v>
      </c>
      <c r="N154">
        <f>ROUND((Source!CT69/IF(Source!BA69&lt;&gt;0,Source!BA69,1)*Source!I69),2)</f>
        <v>0</v>
      </c>
      <c r="O154">
        <f>IF(Source!BI69=1,((((Source!CT69/IF(Source!BA69&lt;&gt;0,Source!BA69,1)*Source!I69)+(Source!CR69/IF(Source!BB69&lt;&gt;0,Source!BB69,1)*Source!I69)+(Source!CQ69/IF(Source!BC69&lt;&gt;0,Source!BC69,1)*Source!I69))+((Source!FX69/100)*((Source!CT69/IF(Source!BA69&lt;&gt;0,Source!BA69,1)*Source!I69)+(Source!CS69/IF(Source!BS69&lt;&gt;0,Source!BS69,1)*Source!I69)))+((Source!FY69/100)*((Source!CT69/IF(Source!BA69&lt;&gt;0,Source!BA69,1)*Source!I69)+(Source!CS69/IF(Source!BS69&lt;&gt;0,Source!BS69,1)*Source!I69))))),0)</f>
        <v>0</v>
      </c>
      <c r="P154">
        <f>IF(Source!BI69=2,((((Source!CT69/IF(Source!BA69&lt;&gt;0,Source!BA69,1)*Source!I69)+(Source!CR69/IF(Source!BB69&lt;&gt;0,Source!BB69,1)*Source!I69)+(Source!CQ69/IF(Source!BC69&lt;&gt;0,Source!BC69,1)*Source!I69))+((Source!FX69/100)*((Source!CT69/IF(Source!BA69&lt;&gt;0,Source!BA69,1)*Source!I69)+(Source!CS69/IF(Source!BS69&lt;&gt;0,Source!BS69,1)*Source!I69)))+((Source!FY69/100)*((Source!CT69/IF(Source!BA69&lt;&gt;0,Source!BA69,1)*Source!I69)+(Source!CS69/IF(Source!BS69&lt;&gt;0,Source!BS69,1)*Source!I69))))),0)</f>
        <v>0</v>
      </c>
      <c r="Q154">
        <f>IF(Source!BI69=3,((((Source!CT69/IF(Source!BA69&lt;&gt;0,Source!BA69,1)*Source!I69)+(Source!CR69/IF(Source!BB69&lt;&gt;0,Source!BB69,1)*Source!I69)+(Source!CQ69/IF(Source!BC69&lt;&gt;0,Source!BC69,1)*Source!I69))+((Source!FX69/100)*((Source!CT69/IF(Source!BA69&lt;&gt;0,Source!BA69,1)*Source!I69)+(Source!CS69/IF(Source!BS69&lt;&gt;0,Source!BS69,1)*Source!I69)))+((Source!FY69/100)*((Source!CT69/IF(Source!BA69&lt;&gt;0,Source!BA69,1)*Source!I69)+(Source!CS69/IF(Source!BS69&lt;&gt;0,Source!BS69,1)*Source!I69))))),0)</f>
        <v>0</v>
      </c>
      <c r="R154">
        <f>IF(Source!BI69=4,((((Source!CT69/IF(Source!BA69&lt;&gt;0,Source!BA69,1)*Source!I69)+(Source!CR69/IF(Source!BB69&lt;&gt;0,Source!BB69,1)*Source!I69)+(Source!CQ69/IF(Source!BC69&lt;&gt;0,Source!BC69,1)*Source!I69))+((Source!FX69/100)*((Source!CT69/IF(Source!BA69&lt;&gt;0,Source!BA69,1)*Source!I69)+(Source!CS69/IF(Source!BS69&lt;&gt;0,Source!BS69,1)*Source!I69)))+((Source!FY69/100)*((Source!CT69/IF(Source!BA69&lt;&gt;0,Source!BA69,1)*Source!I69)+(Source!CS69/IF(Source!BS69&lt;&gt;0,Source!BS69,1)*Source!I69))))),0)</f>
        <v>1.463</v>
      </c>
      <c r="S154">
        <f>IF(Source!BI69=1,Source!O69+Source!X69+Source!Y69,0)</f>
        <v>0</v>
      </c>
      <c r="T154">
        <f>IF(Source!BI69=2,Source!O69+Source!X69+Source!Y69,0)</f>
        <v>0</v>
      </c>
      <c r="U154">
        <f>IF(Source!BI69=3,Source!O69+Source!X69+Source!Y69,0)</f>
        <v>0</v>
      </c>
      <c r="V154">
        <f>IF(Source!BI69=4,Source!O69+Source!X69+Source!Y69,0)</f>
        <v>7.78</v>
      </c>
      <c r="W154">
        <f>ROUND((Source!CS69/IF(Source!BS69&lt;&gt;0,Source!BS69,1)*Source!I69),2)</f>
        <v>0</v>
      </c>
    </row>
    <row r="155" spans="1:12" ht="90">
      <c r="A155" s="29" t="str">
        <f>Source!E70</f>
        <v>19</v>
      </c>
      <c r="B155" s="29" t="str">
        <f>Source!F70</f>
        <v>47-01-046-3</v>
      </c>
      <c r="C155" s="30" t="str">
        <f>Source!G70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D155" s="31" t="str">
        <f>Source!H70</f>
        <v>100 м2</v>
      </c>
      <c r="E155" s="14">
        <f>ROUND(Source!I70,6)</f>
        <v>0.065</v>
      </c>
      <c r="F155" s="16">
        <f>IF(Source!AK70&lt;&gt;0,Source!AK70,Source!AL70+Source!AM70+Source!AO70)</f>
        <v>2263.61</v>
      </c>
      <c r="G155" s="14"/>
      <c r="H155" s="14"/>
      <c r="I155" s="32" t="str">
        <f>IF(Source!BO70&lt;&gt;"",Source!BO70,"")</f>
        <v>47-01-046-3</v>
      </c>
      <c r="J155" s="14"/>
      <c r="K155" s="14"/>
      <c r="L155" s="14"/>
    </row>
    <row r="156" spans="1:12" ht="15">
      <c r="A156" s="14"/>
      <c r="B156" s="14"/>
      <c r="C156" s="14" t="s">
        <v>429</v>
      </c>
      <c r="D156" s="14"/>
      <c r="E156" s="14"/>
      <c r="F156" s="16">
        <f>Source!AO70</f>
        <v>278.54</v>
      </c>
      <c r="G156" s="32">
        <f>Source!DG70</f>
      </c>
      <c r="H156" s="16">
        <f>ROUND((Source!CT70/IF(Source!BA70&lt;&gt;0,Source!BA70,1)*Source!I70),2)</f>
        <v>18.11</v>
      </c>
      <c r="I156" s="14"/>
      <c r="J156" s="14">
        <f>Source!BA70</f>
        <v>17.84</v>
      </c>
      <c r="K156" s="16">
        <f>Source!S70</f>
        <v>322.99</v>
      </c>
      <c r="L156" s="14"/>
    </row>
    <row r="157" spans="1:12" ht="15">
      <c r="A157" s="14"/>
      <c r="B157" s="14"/>
      <c r="C157" s="14" t="s">
        <v>107</v>
      </c>
      <c r="D157" s="14"/>
      <c r="E157" s="14"/>
      <c r="F157" s="16">
        <f>Source!AM70</f>
        <v>6.57</v>
      </c>
      <c r="G157" s="32">
        <f>Source!DE70</f>
      </c>
      <c r="H157" s="16">
        <f>ROUND((Source!CR70/IF(Source!BB70&lt;&gt;0,Source!BB70,1)*Source!I70),2)</f>
        <v>0.43</v>
      </c>
      <c r="I157" s="14"/>
      <c r="J157" s="14">
        <f>Source!BB70</f>
        <v>6.04</v>
      </c>
      <c r="K157" s="16">
        <f>Source!Q70</f>
        <v>2.58</v>
      </c>
      <c r="L157" s="14"/>
    </row>
    <row r="158" spans="1:12" ht="15">
      <c r="A158" s="14"/>
      <c r="B158" s="14"/>
      <c r="C158" s="14" t="s">
        <v>434</v>
      </c>
      <c r="D158" s="14"/>
      <c r="E158" s="14"/>
      <c r="F158" s="16">
        <f>Source!AN70</f>
        <v>0.95</v>
      </c>
      <c r="G158" s="32">
        <f>Source!DF70</f>
      </c>
      <c r="H158" s="40">
        <f>ROUND((Source!CS70/IF(Source!BS70&lt;&gt;0,Source!BS70,1)*Source!I70),2)</f>
        <v>0.06</v>
      </c>
      <c r="I158" s="14"/>
      <c r="J158" s="14">
        <f>Source!BS70</f>
        <v>17.84</v>
      </c>
      <c r="K158" s="40">
        <f>Source!R70</f>
        <v>1.1</v>
      </c>
      <c r="L158" s="14"/>
    </row>
    <row r="159" spans="1:12" ht="15">
      <c r="A159" s="14"/>
      <c r="B159" s="14"/>
      <c r="C159" s="14" t="s">
        <v>435</v>
      </c>
      <c r="D159" s="14"/>
      <c r="E159" s="14"/>
      <c r="F159" s="16">
        <f>Source!AL70</f>
        <v>1978.5</v>
      </c>
      <c r="G159" s="32">
        <f>Source!DD70</f>
      </c>
      <c r="H159" s="16">
        <f>ROUND((Source!CQ70/IF(Source!BC70&lt;&gt;0,Source!BC70,1)*Source!I70),2)</f>
        <v>128.6</v>
      </c>
      <c r="I159" s="14"/>
      <c r="J159" s="14">
        <f>Source!BC70</f>
        <v>4.33</v>
      </c>
      <c r="K159" s="16">
        <f>Source!P70</f>
        <v>556.85</v>
      </c>
      <c r="L159" s="14"/>
    </row>
    <row r="160" spans="1:24" ht="15">
      <c r="A160" s="14"/>
      <c r="B160" s="14"/>
      <c r="C160" s="14" t="s">
        <v>430</v>
      </c>
      <c r="D160" s="17" t="s">
        <v>431</v>
      </c>
      <c r="E160" s="14"/>
      <c r="F160" s="16">
        <f>Source!BZ70</f>
        <v>115</v>
      </c>
      <c r="G160" s="14"/>
      <c r="H160" s="16">
        <f>X160+X163+X164+X165</f>
        <v>20.9</v>
      </c>
      <c r="I160" s="14" t="str">
        <f>Source!FV70</f>
        <v>((*0.85))</v>
      </c>
      <c r="J160" s="16">
        <f>Source!AT70</f>
        <v>98</v>
      </c>
      <c r="K160" s="16">
        <f>Source!X70+Source!X71+Source!X72+Source!X73</f>
        <v>317.61</v>
      </c>
      <c r="L160" s="14"/>
      <c r="X160">
        <f>ROUND((Source!FX70/100)*(ROUND((Source!CT70/IF(Source!BA70&lt;&gt;0,Source!BA70,1)*Source!I70),2)+ROUND((Source!CS70/IF(Source!BS70&lt;&gt;0,Source!BS70,1)*Source!I70),2)),2)</f>
        <v>20.9</v>
      </c>
    </row>
    <row r="161" spans="1:25" ht="15">
      <c r="A161" s="14"/>
      <c r="B161" s="14"/>
      <c r="C161" s="14" t="s">
        <v>123</v>
      </c>
      <c r="D161" s="17" t="s">
        <v>431</v>
      </c>
      <c r="E161" s="14"/>
      <c r="F161" s="16">
        <f>Source!CA70</f>
        <v>90</v>
      </c>
      <c r="G161" s="14"/>
      <c r="H161" s="16">
        <f>Y161+Y163+Y164+Y165</f>
        <v>16.35</v>
      </c>
      <c r="I161" s="14" t="str">
        <f>Source!FW70</f>
        <v>((*0.8))</v>
      </c>
      <c r="J161" s="16">
        <f>Source!AU70</f>
        <v>72</v>
      </c>
      <c r="K161" s="16">
        <f>Source!Y70+Source!Y71+Source!Y72+Source!Y73</f>
        <v>233.34</v>
      </c>
      <c r="L161" s="14"/>
      <c r="Y161">
        <f>ROUND((Source!FY70/100)*(ROUND((Source!CT70/IF(Source!BA70&lt;&gt;0,Source!BA70,1)*Source!I70),2)+ROUND((Source!CS70/IF(Source!BS70&lt;&gt;0,Source!BS70,1)*Source!I70),2)),2)</f>
        <v>16.35</v>
      </c>
    </row>
    <row r="162" spans="1:12" ht="15">
      <c r="A162" s="14"/>
      <c r="B162" s="14"/>
      <c r="C162" s="14" t="s">
        <v>432</v>
      </c>
      <c r="D162" s="17" t="s">
        <v>433</v>
      </c>
      <c r="E162" s="14">
        <f>Source!AQ70</f>
        <v>35.08</v>
      </c>
      <c r="F162" s="14"/>
      <c r="G162" s="32">
        <f>Source!DI70</f>
      </c>
      <c r="H162" s="14"/>
      <c r="I162" s="14"/>
      <c r="J162" s="14"/>
      <c r="K162" s="14"/>
      <c r="L162" s="16">
        <f>Source!U70</f>
        <v>2.2802</v>
      </c>
    </row>
    <row r="163" spans="1:25" ht="30">
      <c r="A163" s="29"/>
      <c r="B163" s="29" t="str">
        <f>Source!F71</f>
        <v>407-0013</v>
      </c>
      <c r="C163" s="30" t="str">
        <f>Source!G71</f>
        <v>Земля растительная механизированной заготовки</v>
      </c>
      <c r="D163" s="31" t="str">
        <f>Source!H71</f>
        <v>м3</v>
      </c>
      <c r="E163" s="14">
        <f>ROUND(Source!I71,6)</f>
        <v>-0.975</v>
      </c>
      <c r="F163" s="16">
        <f>IF(Source!AL71=0,Source!AK71,Source!AL71)</f>
        <v>131.9</v>
      </c>
      <c r="G163" s="32">
        <f>Source!DD71</f>
      </c>
      <c r="H163" s="41">
        <f>ROUND((Source!CR71/IF(Source!BB71&lt;&gt;0,Source!BB71,1)*Source!I71),2)+ROUND((Source!CQ71/IF(Source!BC71&lt;&gt;0,Source!BC71,1)*Source!I71),2)+ROUND((Source!CT71/IF(Source!BA71&lt;&gt;0,Source!BA71,1)*Source!I71),2)</f>
        <v>-128.6</v>
      </c>
      <c r="I163" s="32" t="str">
        <f>IF(Source!BO71&lt;&gt;"",Source!BO71,"")</f>
        <v>407-0013</v>
      </c>
      <c r="J163" s="14">
        <f>Source!BC71</f>
        <v>4.33</v>
      </c>
      <c r="K163" s="16">
        <f>Source!O71</f>
        <v>-556.85</v>
      </c>
      <c r="L163" s="14"/>
      <c r="N163">
        <f>ROUND((Source!CT71/IF(Source!BA71&lt;&gt;0,Source!BA71,1)*Source!I71),2)</f>
        <v>0</v>
      </c>
      <c r="O163">
        <f>IF(Source!BI71=1,(ROUND((Source!CR71/IF(Source!BB71&lt;&gt;0,Source!BB71,1)*Source!I71),2)+ROUND((Source!CQ71/IF(Source!BC71&lt;&gt;0,Source!BC71,1)*Source!I71),2)+ROUND((Source!CT71/IF(Source!BA71&lt;&gt;0,Source!BA71,1)*Source!I71),2)),0)</f>
        <v>-128.6</v>
      </c>
      <c r="P163">
        <f>IF(Source!BI71=2,(ROUND((Source!CR71/IF(Source!BB71&lt;&gt;0,Source!BB71,1)*Source!I71),2)+ROUND((Source!CQ71/IF(Source!BC71&lt;&gt;0,Source!BC71,1)*Source!I71),2)+ROUND((Source!CT71/IF(Source!BA71&lt;&gt;0,Source!BA71,1)*Source!I71),2)),0)</f>
        <v>0</v>
      </c>
      <c r="Q163">
        <f>IF(Source!BI71=3,(ROUND((Source!CR71/IF(Source!BB71&lt;&gt;0,Source!BB71,1)*Source!I71),2)+ROUND((Source!CQ71/IF(Source!BC71&lt;&gt;0,Source!BC71,1)*Source!I71),2)+ROUND((Source!CT71/IF(Source!BA71&lt;&gt;0,Source!BA71,1)*Source!I71),2)),0)</f>
        <v>0</v>
      </c>
      <c r="R163">
        <f>IF(Source!BI71=4,(ROUND((Source!CR71/IF(Source!BB71&lt;&gt;0,Source!BB71,1)*Source!I71),2)+ROUND((Source!CQ71/IF(Source!BC71&lt;&gt;0,Source!BC71,1)*Source!I71),2)+ROUND((Source!CT71/IF(Source!BA71&lt;&gt;0,Source!BA71,1)*Source!I71),2)),0)</f>
        <v>0</v>
      </c>
      <c r="S163">
        <f>IF(Source!BI71=1,Source!O71+Source!X71+Source!Y71,0)</f>
        <v>-556.85</v>
      </c>
      <c r="T163">
        <f>IF(Source!BI71=2,Source!O71+Source!X71+Source!Y71,0)</f>
        <v>0</v>
      </c>
      <c r="U163">
        <f>IF(Source!BI71=3,Source!O71+Source!X71+Source!Y71,0)</f>
        <v>0</v>
      </c>
      <c r="V163">
        <f>IF(Source!BI71=4,Source!O71+Source!X71+Source!Y71,0)</f>
        <v>0</v>
      </c>
      <c r="W163">
        <f>ROUND((Source!CS71/IF(Source!BS71&lt;&gt;0,Source!BS71,1)*Source!I71),2)</f>
        <v>0</v>
      </c>
      <c r="X163">
        <f>ROUND((Source!FX71/100)*(ROUND((Source!CT71/IF(Source!BA71&lt;&gt;0,Source!BA71,1)*Source!I71),2)+ROUND((Source!CS71/IF(Source!BS71&lt;&gt;0,Source!BS71,1)*Source!I71),2)),2)</f>
        <v>0</v>
      </c>
      <c r="Y163">
        <f>ROUND((Source!FY71/100)*(ROUND((Source!CT71/IF(Source!BA71&lt;&gt;0,Source!BA71,1)*Source!I71),2)+ROUND((Source!CS71/IF(Source!BS71&lt;&gt;0,Source!BS71,1)*Source!I71),2)),2)</f>
        <v>0</v>
      </c>
    </row>
    <row r="164" spans="1:25" ht="30">
      <c r="A164" s="29"/>
      <c r="B164" s="29" t="str">
        <f>Source!F72</f>
        <v>407-0013</v>
      </c>
      <c r="C164" s="30" t="str">
        <f>Source!G72</f>
        <v>Земля растительная механизированной заготовки</v>
      </c>
      <c r="D164" s="31" t="str">
        <f>Source!H72</f>
        <v>м3</v>
      </c>
      <c r="E164" s="14">
        <f>ROUND(Source!I72,6)</f>
        <v>0.325</v>
      </c>
      <c r="F164" s="16">
        <f>IF(Source!AL72=0,Source!AK72,Source!AL72)</f>
        <v>131.9</v>
      </c>
      <c r="G164" s="32">
        <f>Source!DD72</f>
      </c>
      <c r="H164" s="41">
        <f>ROUND((Source!CR72/IF(Source!BB72&lt;&gt;0,Source!BB72,1)*Source!I72),2)+ROUND((Source!CQ72/IF(Source!BC72&lt;&gt;0,Source!BC72,1)*Source!I72),2)+ROUND((Source!CT72/IF(Source!BA72&lt;&gt;0,Source!BA72,1)*Source!I72),2)</f>
        <v>42.87</v>
      </c>
      <c r="I164" s="32" t="str">
        <f>IF(Source!BO72&lt;&gt;"",Source!BO72,"")</f>
        <v>407-0013</v>
      </c>
      <c r="J164" s="14">
        <f>Source!BC72</f>
        <v>4.33</v>
      </c>
      <c r="K164" s="16">
        <f>Source!O72</f>
        <v>185.62</v>
      </c>
      <c r="L164" s="14"/>
      <c r="N164">
        <f>ROUND((Source!CT72/IF(Source!BA72&lt;&gt;0,Source!BA72,1)*Source!I72),2)</f>
        <v>0</v>
      </c>
      <c r="O164">
        <f>IF(Source!BI72=1,(ROUND((Source!CR72/IF(Source!BB72&lt;&gt;0,Source!BB72,1)*Source!I72),2)+ROUND((Source!CQ72/IF(Source!BC72&lt;&gt;0,Source!BC72,1)*Source!I72),2)+ROUND((Source!CT72/IF(Source!BA72&lt;&gt;0,Source!BA72,1)*Source!I72),2)),0)</f>
        <v>42.87</v>
      </c>
      <c r="P164">
        <f>IF(Source!BI72=2,(ROUND((Source!CR72/IF(Source!BB72&lt;&gt;0,Source!BB72,1)*Source!I72),2)+ROUND((Source!CQ72/IF(Source!BC72&lt;&gt;0,Source!BC72,1)*Source!I72),2)+ROUND((Source!CT72/IF(Source!BA72&lt;&gt;0,Source!BA72,1)*Source!I72),2)),0)</f>
        <v>0</v>
      </c>
      <c r="Q164">
        <f>IF(Source!BI72=3,(ROUND((Source!CR72/IF(Source!BB72&lt;&gt;0,Source!BB72,1)*Source!I72),2)+ROUND((Source!CQ72/IF(Source!BC72&lt;&gt;0,Source!BC72,1)*Source!I72),2)+ROUND((Source!CT72/IF(Source!BA72&lt;&gt;0,Source!BA72,1)*Source!I72),2)),0)</f>
        <v>0</v>
      </c>
      <c r="R164">
        <f>IF(Source!BI72=4,(ROUND((Source!CR72/IF(Source!BB72&lt;&gt;0,Source!BB72,1)*Source!I72),2)+ROUND((Source!CQ72/IF(Source!BC72&lt;&gt;0,Source!BC72,1)*Source!I72),2)+ROUND((Source!CT72/IF(Source!BA72&lt;&gt;0,Source!BA72,1)*Source!I72),2)),0)</f>
        <v>0</v>
      </c>
      <c r="S164">
        <f>IF(Source!BI72=1,Source!O72+Source!X72+Source!Y72,0)</f>
        <v>185.62</v>
      </c>
      <c r="T164">
        <f>IF(Source!BI72=2,Source!O72+Source!X72+Source!Y72,0)</f>
        <v>0</v>
      </c>
      <c r="U164">
        <f>IF(Source!BI72=3,Source!O72+Source!X72+Source!Y72,0)</f>
        <v>0</v>
      </c>
      <c r="V164">
        <f>IF(Source!BI72=4,Source!O72+Source!X72+Source!Y72,0)</f>
        <v>0</v>
      </c>
      <c r="W164">
        <f>ROUND((Source!CS72/IF(Source!BS72&lt;&gt;0,Source!BS72,1)*Source!I72),2)</f>
        <v>0</v>
      </c>
      <c r="X164">
        <f>ROUND((Source!FX72/100)*(ROUND((Source!CT72/IF(Source!BA72&lt;&gt;0,Source!BA72,1)*Source!I72),2)+ROUND((Source!CS72/IF(Source!BS72&lt;&gt;0,Source!BS72,1)*Source!I72),2)),2)</f>
        <v>0</v>
      </c>
      <c r="Y164">
        <f>ROUND((Source!FY72/100)*(ROUND((Source!CT72/IF(Source!BA72&lt;&gt;0,Source!BA72,1)*Source!I72),2)+ROUND((Source!CS72/IF(Source!BS72&lt;&gt;0,Source!BS72,1)*Source!I72),2)),2)</f>
        <v>0</v>
      </c>
    </row>
    <row r="165" spans="1:25" ht="30">
      <c r="A165" s="42"/>
      <c r="B165" s="42" t="str">
        <f>Source!F73</f>
        <v>408-0122</v>
      </c>
      <c r="C165" s="43" t="str">
        <f>Source!G73</f>
        <v>Песок природный для строительных работ средний</v>
      </c>
      <c r="D165" s="44" t="str">
        <f>Source!H73</f>
        <v>м3</v>
      </c>
      <c r="E165" s="34">
        <f>ROUND(Source!I73,6)</f>
        <v>0.325</v>
      </c>
      <c r="F165" s="37">
        <f>IF(Source!AL73=0,Source!AK73,Source!AL73)</f>
        <v>55.26</v>
      </c>
      <c r="G165" s="36">
        <f>Source!DD73</f>
      </c>
      <c r="H165" s="45">
        <f>ROUND((Source!CR73/IF(Source!BB73&lt;&gt;0,Source!BB73,1)*Source!I73),2)+ROUND((Source!CQ73/IF(Source!BC73&lt;&gt;0,Source!BC73,1)*Source!I73),2)+ROUND((Source!CT73/IF(Source!BA73&lt;&gt;0,Source!BA73,1)*Source!I73),2)</f>
        <v>17.96</v>
      </c>
      <c r="I165" s="36" t="str">
        <f>IF(Source!BO73&lt;&gt;"",Source!BO73,"")</f>
        <v>408-0122</v>
      </c>
      <c r="J165" s="34">
        <f>Source!BC73</f>
        <v>9.25</v>
      </c>
      <c r="K165" s="37">
        <f>Source!O73</f>
        <v>166.13</v>
      </c>
      <c r="L165" s="34"/>
      <c r="N165">
        <f>ROUND((Source!CT73/IF(Source!BA73&lt;&gt;0,Source!BA73,1)*Source!I73),2)</f>
        <v>0</v>
      </c>
      <c r="O165">
        <f>IF(Source!BI73=1,(ROUND((Source!CR73/IF(Source!BB73&lt;&gt;0,Source!BB73,1)*Source!I73),2)+ROUND((Source!CQ73/IF(Source!BC73&lt;&gt;0,Source!BC73,1)*Source!I73),2)+ROUND((Source!CT73/IF(Source!BA73&lt;&gt;0,Source!BA73,1)*Source!I73),2)),0)</f>
        <v>17.96</v>
      </c>
      <c r="P165">
        <f>IF(Source!BI73=2,(ROUND((Source!CR73/IF(Source!BB73&lt;&gt;0,Source!BB73,1)*Source!I73),2)+ROUND((Source!CQ73/IF(Source!BC73&lt;&gt;0,Source!BC73,1)*Source!I73),2)+ROUND((Source!CT73/IF(Source!BA73&lt;&gt;0,Source!BA73,1)*Source!I73),2)),0)</f>
        <v>0</v>
      </c>
      <c r="Q165">
        <f>IF(Source!BI73=3,(ROUND((Source!CR73/IF(Source!BB73&lt;&gt;0,Source!BB73,1)*Source!I73),2)+ROUND((Source!CQ73/IF(Source!BC73&lt;&gt;0,Source!BC73,1)*Source!I73),2)+ROUND((Source!CT73/IF(Source!BA73&lt;&gt;0,Source!BA73,1)*Source!I73),2)),0)</f>
        <v>0</v>
      </c>
      <c r="R165">
        <f>IF(Source!BI73=4,(ROUND((Source!CR73/IF(Source!BB73&lt;&gt;0,Source!BB73,1)*Source!I73),2)+ROUND((Source!CQ73/IF(Source!BC73&lt;&gt;0,Source!BC73,1)*Source!I73),2)+ROUND((Source!CT73/IF(Source!BA73&lt;&gt;0,Source!BA73,1)*Source!I73),2)),0)</f>
        <v>0</v>
      </c>
      <c r="S165">
        <f>IF(Source!BI73=1,Source!O73+Source!X73+Source!Y73,0)</f>
        <v>166.13</v>
      </c>
      <c r="T165">
        <f>IF(Source!BI73=2,Source!O73+Source!X73+Source!Y73,0)</f>
        <v>0</v>
      </c>
      <c r="U165">
        <f>IF(Source!BI73=3,Source!O73+Source!X73+Source!Y73,0)</f>
        <v>0</v>
      </c>
      <c r="V165">
        <f>IF(Source!BI73=4,Source!O73+Source!X73+Source!Y73,0)</f>
        <v>0</v>
      </c>
      <c r="W165">
        <f>ROUND((Source!CS73/IF(Source!BS73&lt;&gt;0,Source!BS73,1)*Source!I73),2)</f>
        <v>0</v>
      </c>
      <c r="X165">
        <f>ROUND((Source!FX73/100)*(ROUND((Source!CT73/IF(Source!BA73&lt;&gt;0,Source!BA73,1)*Source!I73),2)+ROUND((Source!CS73/IF(Source!BS73&lt;&gt;0,Source!BS73,1)*Source!I73),2)),2)</f>
        <v>0</v>
      </c>
      <c r="Y165">
        <f>ROUND((Source!FY73/100)*(ROUND((Source!CT73/IF(Source!BA73&lt;&gt;0,Source!BA73,1)*Source!I73),2)+ROUND((Source!CS73/IF(Source!BS73&lt;&gt;0,Source!BS73,1)*Source!I73),2)),2)</f>
        <v>0</v>
      </c>
    </row>
    <row r="166" spans="1:23" ht="15.75">
      <c r="A166" s="14"/>
      <c r="B166" s="14"/>
      <c r="C166" s="14"/>
      <c r="D166" s="14"/>
      <c r="E166" s="14"/>
      <c r="F166" s="14"/>
      <c r="G166" s="14"/>
      <c r="H166" s="38">
        <f>ROUND((Source!CT70/IF(Source!BA70&lt;&gt;0,Source!BA70,1)*Source!I70),2)+ROUND((Source!CR70/IF(Source!BB70&lt;&gt;0,Source!BB70,1)*Source!I70),2)+H159+H160+H161+H163+H164+H165</f>
        <v>116.62</v>
      </c>
      <c r="I166" s="39"/>
      <c r="J166" s="39"/>
      <c r="K166" s="38">
        <f>Source!S70+Source!Q70+K159+K160+K161+K163+K164+K165</f>
        <v>1228.27</v>
      </c>
      <c r="L166" s="38">
        <f>Source!U70</f>
        <v>2.2802</v>
      </c>
      <c r="M166" s="33">
        <f>H166</f>
        <v>116.62</v>
      </c>
      <c r="N166">
        <f>ROUND((Source!CT70/IF(Source!BA70&lt;&gt;0,Source!BA70,1)*Source!I70),2)</f>
        <v>18.11</v>
      </c>
      <c r="O166">
        <f>IF(Source!BI70=1,((((Source!CT70/IF(Source!BA70&lt;&gt;0,Source!BA70,1)*Source!I70)+(Source!CR70/IF(Source!BB70&lt;&gt;0,Source!BB70,1)*Source!I70)+(Source!CQ70/IF(Source!BC70&lt;&gt;0,Source!BC70,1)*Source!I70))+((Source!FX70/100)*((Source!CT70/IF(Source!BA70&lt;&gt;0,Source!BA70,1)*Source!I70)+(Source!CS70/IF(Source!BS70&lt;&gt;0,Source!BS70,1)*Source!I70)))+((Source!FY70/100)*((Source!CT70/IF(Source!BA70&lt;&gt;0,Source!BA70,1)*Source!I70)+(Source!CS70/IF(Source!BS70&lt;&gt;0,Source!BS70,1)*Source!I70))))),0)</f>
        <v>184.37669250000002</v>
      </c>
      <c r="P166">
        <f>IF(Source!BI70=2,((((Source!CT70/IF(Source!BA70&lt;&gt;0,Source!BA70,1)*Source!I70)+(Source!CR70/IF(Source!BB70&lt;&gt;0,Source!BB70,1)*Source!I70)+(Source!CQ70/IF(Source!BC70&lt;&gt;0,Source!BC70,1)*Source!I70))+((Source!FX70/100)*((Source!CT70/IF(Source!BA70&lt;&gt;0,Source!BA70,1)*Source!I70)+(Source!CS70/IF(Source!BS70&lt;&gt;0,Source!BS70,1)*Source!I70)))+((Source!FY70/100)*((Source!CT70/IF(Source!BA70&lt;&gt;0,Source!BA70,1)*Source!I70)+(Source!CS70/IF(Source!BS70&lt;&gt;0,Source!BS70,1)*Source!I70))))),0)</f>
        <v>0</v>
      </c>
      <c r="Q166">
        <f>IF(Source!BI70=3,((((Source!CT70/IF(Source!BA70&lt;&gt;0,Source!BA70,1)*Source!I70)+(Source!CR70/IF(Source!BB70&lt;&gt;0,Source!BB70,1)*Source!I70)+(Source!CQ70/IF(Source!BC70&lt;&gt;0,Source!BC70,1)*Source!I70))+((Source!FX70/100)*((Source!CT70/IF(Source!BA70&lt;&gt;0,Source!BA70,1)*Source!I70)+(Source!CS70/IF(Source!BS70&lt;&gt;0,Source!BS70,1)*Source!I70)))+((Source!FY70/100)*((Source!CT70/IF(Source!BA70&lt;&gt;0,Source!BA70,1)*Source!I70)+(Source!CS70/IF(Source!BS70&lt;&gt;0,Source!BS70,1)*Source!I70))))),0)</f>
        <v>0</v>
      </c>
      <c r="R166">
        <f>IF(Source!BI70=4,((((Source!CT70/IF(Source!BA70&lt;&gt;0,Source!BA70,1)*Source!I70)+(Source!CR70/IF(Source!BB70&lt;&gt;0,Source!BB70,1)*Source!I70)+(Source!CQ70/IF(Source!BC70&lt;&gt;0,Source!BC70,1)*Source!I70))+((Source!FX70/100)*((Source!CT70/IF(Source!BA70&lt;&gt;0,Source!BA70,1)*Source!I70)+(Source!CS70/IF(Source!BS70&lt;&gt;0,Source!BS70,1)*Source!I70)))+((Source!FY70/100)*((Source!CT70/IF(Source!BA70&lt;&gt;0,Source!BA70,1)*Source!I70)+(Source!CS70/IF(Source!BS70&lt;&gt;0,Source!BS70,1)*Source!I70))))),0)</f>
        <v>0</v>
      </c>
      <c r="S166">
        <f>IF(Source!BI70=1,Source!O70+Source!X70+Source!Y70,0)</f>
        <v>1433.37</v>
      </c>
      <c r="T166">
        <f>IF(Source!BI70=2,Source!O70+Source!X70+Source!Y70,0)</f>
        <v>0</v>
      </c>
      <c r="U166">
        <f>IF(Source!BI70=3,Source!O70+Source!X70+Source!Y70,0)</f>
        <v>0</v>
      </c>
      <c r="V166">
        <f>IF(Source!BI70=4,Source!O70+Source!X70+Source!Y70,0)</f>
        <v>0</v>
      </c>
      <c r="W166">
        <f>ROUND((Source!CS70/IF(Source!BS70&lt;&gt;0,Source!BS70,1)*Source!I70),2)</f>
        <v>0.06</v>
      </c>
    </row>
    <row r="168" spans="3:23" s="39" customFormat="1" ht="15.75">
      <c r="C168" s="39" t="s">
        <v>174</v>
      </c>
      <c r="G168" s="91">
        <f>SUM(M120:M167)</f>
        <v>2814.9300000000003</v>
      </c>
      <c r="H168" s="91"/>
      <c r="J168" s="91">
        <f>ROUND(Source!AB62+Source!AK62+Source!AL62+Source!AE62*0/100,2)</f>
        <v>37420.31</v>
      </c>
      <c r="K168" s="91"/>
      <c r="L168" s="38">
        <f>Source!AH62</f>
        <v>93.4</v>
      </c>
      <c r="N168" s="38">
        <f aca="true" t="shared" si="1" ref="N168:W168">SUM(N120:N167)</f>
        <v>750.71</v>
      </c>
      <c r="O168" s="38">
        <f t="shared" si="1"/>
        <v>2812.3931335</v>
      </c>
      <c r="P168" s="38">
        <f t="shared" si="1"/>
        <v>0</v>
      </c>
      <c r="Q168" s="38">
        <f t="shared" si="1"/>
        <v>0</v>
      </c>
      <c r="R168" s="38">
        <f t="shared" si="1"/>
        <v>2.5420000000000003</v>
      </c>
      <c r="S168" s="38">
        <f t="shared" si="1"/>
        <v>37395.29</v>
      </c>
      <c r="T168" s="38">
        <f t="shared" si="1"/>
        <v>0</v>
      </c>
      <c r="U168" s="38">
        <f t="shared" si="1"/>
        <v>0</v>
      </c>
      <c r="V168" s="38">
        <f t="shared" si="1"/>
        <v>25.020000000000003</v>
      </c>
      <c r="W168" s="39">
        <f t="shared" si="1"/>
        <v>19.38</v>
      </c>
    </row>
    <row r="170" spans="3:30" ht="18">
      <c r="C170" s="26" t="s">
        <v>428</v>
      </c>
      <c r="D170" s="89" t="str">
        <f>IF(Source!C12="1",Source!F91,Source!G91)</f>
        <v>Внутридворовая территория около д. 41</v>
      </c>
      <c r="E170" s="92"/>
      <c r="F170" s="92"/>
      <c r="G170" s="92"/>
      <c r="H170" s="92"/>
      <c r="I170" s="92"/>
      <c r="J170" s="92"/>
      <c r="K170" s="92"/>
      <c r="L170" s="92"/>
      <c r="AD170" s="28" t="str">
        <f>IF(Source!C12="1",Source!F91,Source!G91)</f>
        <v>Внутридворовая территория около д. 41</v>
      </c>
    </row>
    <row r="172" spans="1:12" ht="30">
      <c r="A172" s="29" t="str">
        <f>Source!E95</f>
        <v>20</v>
      </c>
      <c r="B172" s="29" t="str">
        <f>Source!F95</f>
        <v>68-2-2</v>
      </c>
      <c r="C172" s="30" t="str">
        <f>Source!G95</f>
        <v>Формовочная обрезка деревьев высотой: более 5 м</v>
      </c>
      <c r="D172" s="31" t="str">
        <f>Source!H95</f>
        <v>шт.</v>
      </c>
      <c r="E172" s="14">
        <f>ROUND(Source!I95,6)</f>
        <v>8</v>
      </c>
      <c r="F172" s="16">
        <f>IF(Source!AK95&lt;&gt;0,Source!AK95,Source!AL95+Source!AM95+Source!AO95)</f>
        <v>519.71</v>
      </c>
      <c r="G172" s="14"/>
      <c r="H172" s="14"/>
      <c r="I172" s="32" t="str">
        <f>IF(Source!BO95&lt;&gt;"",Source!BO95,"")</f>
        <v>68-2-2</v>
      </c>
      <c r="J172" s="14"/>
      <c r="K172" s="14"/>
      <c r="L172" s="14"/>
    </row>
    <row r="173" spans="1:12" ht="15">
      <c r="A173" s="14"/>
      <c r="B173" s="14"/>
      <c r="C173" s="14" t="s">
        <v>429</v>
      </c>
      <c r="D173" s="14"/>
      <c r="E173" s="14"/>
      <c r="F173" s="16">
        <f>Source!AO95</f>
        <v>17.51</v>
      </c>
      <c r="G173" s="32">
        <f>Source!DG95</f>
      </c>
      <c r="H173" s="16">
        <f>ROUND((Source!CT95/IF(Source!BA95&lt;&gt;0,Source!BA95,1)*Source!I95),2)</f>
        <v>140.08</v>
      </c>
      <c r="I173" s="14"/>
      <c r="J173" s="14">
        <f>Source!BA95</f>
        <v>17.84</v>
      </c>
      <c r="K173" s="16">
        <f>Source!S95</f>
        <v>2499.03</v>
      </c>
      <c r="L173" s="14"/>
    </row>
    <row r="174" spans="1:12" ht="15">
      <c r="A174" s="14"/>
      <c r="B174" s="14"/>
      <c r="C174" s="14" t="s">
        <v>107</v>
      </c>
      <c r="D174" s="14"/>
      <c r="E174" s="14"/>
      <c r="F174" s="16">
        <f>Source!AM95</f>
        <v>502.2</v>
      </c>
      <c r="G174" s="32">
        <f>Source!DE95</f>
      </c>
      <c r="H174" s="16">
        <f>ROUND((Source!CR95/IF(Source!BB95&lt;&gt;0,Source!BB95,1)*Source!I95),2)</f>
        <v>4017.6</v>
      </c>
      <c r="I174" s="14"/>
      <c r="J174" s="14">
        <f>Source!BB95</f>
        <v>7.81</v>
      </c>
      <c r="K174" s="16">
        <f>Source!Q95</f>
        <v>31377.46</v>
      </c>
      <c r="L174" s="14"/>
    </row>
    <row r="175" spans="1:12" ht="15">
      <c r="A175" s="14"/>
      <c r="B175" s="14"/>
      <c r="C175" s="14" t="s">
        <v>434</v>
      </c>
      <c r="D175" s="14"/>
      <c r="E175" s="14"/>
      <c r="F175" s="16">
        <f>Source!AN95</f>
        <v>28.68</v>
      </c>
      <c r="G175" s="32">
        <f>Source!DF95</f>
      </c>
      <c r="H175" s="40">
        <f>ROUND((Source!CS95/IF(Source!BS95&lt;&gt;0,Source!BS95,1)*Source!I95),2)</f>
        <v>229.44</v>
      </c>
      <c r="I175" s="14"/>
      <c r="J175" s="14">
        <f>Source!BS95</f>
        <v>17.84</v>
      </c>
      <c r="K175" s="40">
        <f>Source!R95</f>
        <v>4093.21</v>
      </c>
      <c r="L175" s="14"/>
    </row>
    <row r="176" spans="1:24" ht="15">
      <c r="A176" s="14"/>
      <c r="B176" s="14"/>
      <c r="C176" s="14" t="s">
        <v>430</v>
      </c>
      <c r="D176" s="17" t="s">
        <v>431</v>
      </c>
      <c r="E176" s="14"/>
      <c r="F176" s="16">
        <f>Source!BZ95</f>
        <v>104</v>
      </c>
      <c r="G176" s="14"/>
      <c r="H176" s="16">
        <f>X176</f>
        <v>384.3</v>
      </c>
      <c r="I176" s="14" t="str">
        <f>Source!FV95</f>
        <v>((*0.85))</v>
      </c>
      <c r="J176" s="16">
        <f>Source!AT95</f>
        <v>88</v>
      </c>
      <c r="K176" s="16">
        <f>Source!X95</f>
        <v>5801.17</v>
      </c>
      <c r="L176" s="14"/>
      <c r="X176">
        <f>ROUND((Source!FX95/100)*(ROUND((Source!CT95/IF(Source!BA95&lt;&gt;0,Source!BA95,1)*Source!I95),2)+ROUND((Source!CS95/IF(Source!BS95&lt;&gt;0,Source!BS95,1)*Source!I95),2)),2)</f>
        <v>384.3</v>
      </c>
    </row>
    <row r="177" spans="1:25" ht="15">
      <c r="A177" s="14"/>
      <c r="B177" s="14"/>
      <c r="C177" s="14" t="s">
        <v>123</v>
      </c>
      <c r="D177" s="17" t="s">
        <v>431</v>
      </c>
      <c r="E177" s="14"/>
      <c r="F177" s="16">
        <f>Source!CA95</f>
        <v>60</v>
      </c>
      <c r="G177" s="14"/>
      <c r="H177" s="16">
        <f>Y177</f>
        <v>221.71</v>
      </c>
      <c r="I177" s="14" t="str">
        <f>Source!FW95</f>
        <v>((*0.8))</v>
      </c>
      <c r="J177" s="16">
        <f>Source!AU95</f>
        <v>48</v>
      </c>
      <c r="K177" s="16">
        <f>Source!Y95</f>
        <v>3164.28</v>
      </c>
      <c r="L177" s="14"/>
      <c r="Y177">
        <f>ROUND((Source!FY95/100)*(ROUND((Source!CT95/IF(Source!BA95&lt;&gt;0,Source!BA95,1)*Source!I95),2)+ROUND((Source!CS95/IF(Source!BS95&lt;&gt;0,Source!BS95,1)*Source!I95),2)),2)</f>
        <v>221.71</v>
      </c>
    </row>
    <row r="178" spans="1:12" ht="15">
      <c r="A178" s="34"/>
      <c r="B178" s="34"/>
      <c r="C178" s="34" t="s">
        <v>432</v>
      </c>
      <c r="D178" s="35" t="s">
        <v>433</v>
      </c>
      <c r="E178" s="34">
        <f>Source!AQ95</f>
        <v>2.07</v>
      </c>
      <c r="F178" s="34"/>
      <c r="G178" s="36">
        <f>Source!DI95</f>
      </c>
      <c r="H178" s="34"/>
      <c r="I178" s="34"/>
      <c r="J178" s="34"/>
      <c r="K178" s="34"/>
      <c r="L178" s="37">
        <f>Source!U95</f>
        <v>16.56</v>
      </c>
    </row>
    <row r="179" spans="1:23" ht="15.75">
      <c r="A179" s="14"/>
      <c r="B179" s="14"/>
      <c r="C179" s="14"/>
      <c r="D179" s="14"/>
      <c r="E179" s="14"/>
      <c r="F179" s="14"/>
      <c r="G179" s="14"/>
      <c r="H179" s="38">
        <f>ROUND((Source!CT95/IF(Source!BA95&lt;&gt;0,Source!BA95,1)*Source!I95),2)+ROUND((Source!CR95/IF(Source!BB95&lt;&gt;0,Source!BB95,1)*Source!I95),2)+H176+H177</f>
        <v>4763.6900000000005</v>
      </c>
      <c r="I179" s="39"/>
      <c r="J179" s="39"/>
      <c r="K179" s="38">
        <f>Source!S95+Source!Q95+K176+K177</f>
        <v>42841.939999999995</v>
      </c>
      <c r="L179" s="38">
        <f>Source!U95</f>
        <v>16.56</v>
      </c>
      <c r="M179" s="33">
        <f>H179</f>
        <v>4763.6900000000005</v>
      </c>
      <c r="N179">
        <f>ROUND((Source!CT95/IF(Source!BA95&lt;&gt;0,Source!BA95,1)*Source!I95),2)</f>
        <v>140.08</v>
      </c>
      <c r="O179">
        <f>IF(Source!BI95=1,((((Source!CT95/IF(Source!BA95&lt;&gt;0,Source!BA95,1)*Source!I95)+(Source!CR95/IF(Source!BB95&lt;&gt;0,Source!BB95,1)*Source!I95)+(Source!CQ95/IF(Source!BC95&lt;&gt;0,Source!BC95,1)*Source!I95))+((Source!FX95/100)*((Source!CT95/IF(Source!BA95&lt;&gt;0,Source!BA95,1)*Source!I95)+(Source!CS95/IF(Source!BS95&lt;&gt;0,Source!BS95,1)*Source!I95)))+((Source!FY95/100)*((Source!CT95/IF(Source!BA95&lt;&gt;0,Source!BA95,1)*Source!I95)+(Source!CS95/IF(Source!BS95&lt;&gt;0,Source!BS95,1)*Source!I95))))),0)</f>
        <v>4763.692800000001</v>
      </c>
      <c r="P179">
        <f>IF(Source!BI95=2,((((Source!CT95/IF(Source!BA95&lt;&gt;0,Source!BA95,1)*Source!I95)+(Source!CR95/IF(Source!BB95&lt;&gt;0,Source!BB95,1)*Source!I95)+(Source!CQ95/IF(Source!BC95&lt;&gt;0,Source!BC95,1)*Source!I95))+((Source!FX95/100)*((Source!CT95/IF(Source!BA95&lt;&gt;0,Source!BA95,1)*Source!I95)+(Source!CS95/IF(Source!BS95&lt;&gt;0,Source!BS95,1)*Source!I95)))+((Source!FY95/100)*((Source!CT95/IF(Source!BA95&lt;&gt;0,Source!BA95,1)*Source!I95)+(Source!CS95/IF(Source!BS95&lt;&gt;0,Source!BS95,1)*Source!I95))))),0)</f>
        <v>0</v>
      </c>
      <c r="Q179">
        <f>IF(Source!BI95=3,((((Source!CT95/IF(Source!BA95&lt;&gt;0,Source!BA95,1)*Source!I95)+(Source!CR95/IF(Source!BB95&lt;&gt;0,Source!BB95,1)*Source!I95)+(Source!CQ95/IF(Source!BC95&lt;&gt;0,Source!BC95,1)*Source!I95))+((Source!FX95/100)*((Source!CT95/IF(Source!BA95&lt;&gt;0,Source!BA95,1)*Source!I95)+(Source!CS95/IF(Source!BS95&lt;&gt;0,Source!BS95,1)*Source!I95)))+((Source!FY95/100)*((Source!CT95/IF(Source!BA95&lt;&gt;0,Source!BA95,1)*Source!I95)+(Source!CS95/IF(Source!BS95&lt;&gt;0,Source!BS95,1)*Source!I95))))),0)</f>
        <v>0</v>
      </c>
      <c r="R179">
        <f>IF(Source!BI95=4,((((Source!CT95/IF(Source!BA95&lt;&gt;0,Source!BA95,1)*Source!I95)+(Source!CR95/IF(Source!BB95&lt;&gt;0,Source!BB95,1)*Source!I95)+(Source!CQ95/IF(Source!BC95&lt;&gt;0,Source!BC95,1)*Source!I95))+((Source!FX95/100)*((Source!CT95/IF(Source!BA95&lt;&gt;0,Source!BA95,1)*Source!I95)+(Source!CS95/IF(Source!BS95&lt;&gt;0,Source!BS95,1)*Source!I95)))+((Source!FY95/100)*((Source!CT95/IF(Source!BA95&lt;&gt;0,Source!BA95,1)*Source!I95)+(Source!CS95/IF(Source!BS95&lt;&gt;0,Source!BS95,1)*Source!I95))))),0)</f>
        <v>0</v>
      </c>
      <c r="S179">
        <f>IF(Source!BI95=1,Source!O95+Source!X95+Source!Y95,0)</f>
        <v>42841.939999999995</v>
      </c>
      <c r="T179">
        <f>IF(Source!BI95=2,Source!O95+Source!X95+Source!Y95,0)</f>
        <v>0</v>
      </c>
      <c r="U179">
        <f>IF(Source!BI95=3,Source!O95+Source!X95+Source!Y95,0)</f>
        <v>0</v>
      </c>
      <c r="V179">
        <f>IF(Source!BI95=4,Source!O95+Source!X95+Source!Y95,0)</f>
        <v>0</v>
      </c>
      <c r="W179">
        <f>ROUND((Source!CS95/IF(Source!BS95&lt;&gt;0,Source!BS95,1)*Source!I95),2)</f>
        <v>229.44</v>
      </c>
    </row>
    <row r="180" spans="1:12" ht="30">
      <c r="A180" s="29" t="str">
        <f>Source!E96</f>
        <v>21</v>
      </c>
      <c r="B180" s="29" t="str">
        <f>Source!F96</f>
        <v>Техчасть индексов</v>
      </c>
      <c r="C180" s="30" t="str">
        <f>Source!G96</f>
        <v>Погрузка  вручную</v>
      </c>
      <c r="D180" s="31" t="str">
        <f>Source!H96</f>
        <v>т</v>
      </c>
      <c r="E180" s="14">
        <f>ROUND(Source!I96,6)</f>
        <v>0.1</v>
      </c>
      <c r="F180" s="16">
        <f>IF(Source!AK96&lt;&gt;0,Source!AK96,Source!AL96+Source!AM96+Source!AO96)</f>
        <v>4.15</v>
      </c>
      <c r="G180" s="14"/>
      <c r="H180" s="14"/>
      <c r="I180" s="32">
        <f>IF(Source!BO96&lt;&gt;"",Source!BO96,"")</f>
      </c>
      <c r="J180" s="14"/>
      <c r="K180" s="14"/>
      <c r="L180" s="14"/>
    </row>
    <row r="181" spans="1:12" ht="15">
      <c r="A181" s="14"/>
      <c r="B181" s="14"/>
      <c r="C181" s="14" t="s">
        <v>429</v>
      </c>
      <c r="D181" s="14"/>
      <c r="E181" s="14"/>
      <c r="F181" s="16">
        <f>Source!AO96</f>
        <v>4.15</v>
      </c>
      <c r="G181" s="32">
        <f>Source!DG96</f>
      </c>
      <c r="H181" s="16">
        <f>ROUND((Source!CT96/IF(Source!BA96&lt;&gt;0,Source!BA96,1)*Source!I96),2)</f>
        <v>0.42</v>
      </c>
      <c r="I181" s="14"/>
      <c r="J181" s="14">
        <f>Source!BA96</f>
        <v>17.84</v>
      </c>
      <c r="K181" s="16">
        <f>Source!S96</f>
        <v>7.4</v>
      </c>
      <c r="L181" s="14"/>
    </row>
    <row r="182" spans="1:24" ht="15">
      <c r="A182" s="14"/>
      <c r="B182" s="14"/>
      <c r="C182" s="14" t="s">
        <v>430</v>
      </c>
      <c r="D182" s="17" t="s">
        <v>431</v>
      </c>
      <c r="E182" s="14"/>
      <c r="F182" s="16">
        <f>Source!BZ96</f>
        <v>100</v>
      </c>
      <c r="G182" s="14"/>
      <c r="H182" s="16">
        <f>X182</f>
        <v>0.42</v>
      </c>
      <c r="I182" s="14" t="str">
        <f>Source!FV96</f>
        <v>((*0.85))</v>
      </c>
      <c r="J182" s="16">
        <f>Source!AT96</f>
        <v>85</v>
      </c>
      <c r="K182" s="16">
        <f>Source!X96</f>
        <v>6.29</v>
      </c>
      <c r="L182" s="14"/>
      <c r="X182">
        <f>ROUND((Source!FX96/100)*(ROUND((Source!CT96/IF(Source!BA96&lt;&gt;0,Source!BA96,1)*Source!I96),2)+ROUND((Source!CS96/IF(Source!BS96&lt;&gt;0,Source!BS96,1)*Source!I96),2)),2)</f>
        <v>0.42</v>
      </c>
    </row>
    <row r="183" spans="1:25" ht="15">
      <c r="A183" s="34"/>
      <c r="B183" s="34"/>
      <c r="C183" s="34" t="s">
        <v>123</v>
      </c>
      <c r="D183" s="35" t="s">
        <v>431</v>
      </c>
      <c r="E183" s="34"/>
      <c r="F183" s="37">
        <f>Source!CA96</f>
        <v>60</v>
      </c>
      <c r="G183" s="34"/>
      <c r="H183" s="37">
        <f>Y183</f>
        <v>0.25</v>
      </c>
      <c r="I183" s="34" t="str">
        <f>Source!FW96</f>
        <v>((*0.8))</v>
      </c>
      <c r="J183" s="37">
        <f>Source!AU96</f>
        <v>48</v>
      </c>
      <c r="K183" s="37">
        <f>Source!Y96</f>
        <v>3.55</v>
      </c>
      <c r="L183" s="34"/>
      <c r="Y183">
        <f>ROUND((Source!FY96/100)*(ROUND((Source!CT96/IF(Source!BA96&lt;&gt;0,Source!BA96,1)*Source!I96),2)+ROUND((Source!CS96/IF(Source!BS96&lt;&gt;0,Source!BS96,1)*Source!I96),2)),2)</f>
        <v>0.25</v>
      </c>
    </row>
    <row r="184" spans="1:23" ht="15.75">
      <c r="A184" s="14"/>
      <c r="B184" s="14"/>
      <c r="C184" s="14"/>
      <c r="D184" s="14"/>
      <c r="E184" s="14"/>
      <c r="F184" s="14"/>
      <c r="G184" s="14"/>
      <c r="H184" s="38">
        <f>ROUND((Source!CT96/IF(Source!BA96&lt;&gt;0,Source!BA96,1)*Source!I96),2)+ROUND((Source!CR96/IF(Source!BB96&lt;&gt;0,Source!BB96,1)*Source!I96),2)+H182+H183</f>
        <v>1.0899999999999999</v>
      </c>
      <c r="I184" s="39"/>
      <c r="J184" s="39"/>
      <c r="K184" s="38">
        <f>Source!S96+Source!Q96+K182+K183</f>
        <v>17.240000000000002</v>
      </c>
      <c r="L184" s="38">
        <f>Source!U96</f>
        <v>0</v>
      </c>
      <c r="M184" s="33">
        <f>H184</f>
        <v>1.0899999999999999</v>
      </c>
      <c r="N184">
        <f>ROUND((Source!CT96/IF(Source!BA96&lt;&gt;0,Source!BA96,1)*Source!I96),2)</f>
        <v>0.42</v>
      </c>
      <c r="O184">
        <f>IF(Source!BI96=1,((((Source!CT96/IF(Source!BA96&lt;&gt;0,Source!BA96,1)*Source!I96)+(Source!CR96/IF(Source!BB96&lt;&gt;0,Source!BB96,1)*Source!I96)+(Source!CQ96/IF(Source!BC96&lt;&gt;0,Source!BC96,1)*Source!I96))+((Source!FX96/100)*((Source!CT96/IF(Source!BA96&lt;&gt;0,Source!BA96,1)*Source!I96)+(Source!CS96/IF(Source!BS96&lt;&gt;0,Source!BS96,1)*Source!I96)))+((Source!FY96/100)*((Source!CT96/IF(Source!BA96&lt;&gt;0,Source!BA96,1)*Source!I96)+(Source!CS96/IF(Source!BS96&lt;&gt;0,Source!BS96,1)*Source!I96))))),0)</f>
        <v>0</v>
      </c>
      <c r="P184">
        <f>IF(Source!BI96=2,((((Source!CT96/IF(Source!BA96&lt;&gt;0,Source!BA96,1)*Source!I96)+(Source!CR96/IF(Source!BB96&lt;&gt;0,Source!BB96,1)*Source!I96)+(Source!CQ96/IF(Source!BC96&lt;&gt;0,Source!BC96,1)*Source!I96))+((Source!FX96/100)*((Source!CT96/IF(Source!BA96&lt;&gt;0,Source!BA96,1)*Source!I96)+(Source!CS96/IF(Source!BS96&lt;&gt;0,Source!BS96,1)*Source!I96)))+((Source!FY96/100)*((Source!CT96/IF(Source!BA96&lt;&gt;0,Source!BA96,1)*Source!I96)+(Source!CS96/IF(Source!BS96&lt;&gt;0,Source!BS96,1)*Source!I96))))),0)</f>
        <v>0</v>
      </c>
      <c r="Q184">
        <f>IF(Source!BI96=3,((((Source!CT96/IF(Source!BA96&lt;&gt;0,Source!BA96,1)*Source!I96)+(Source!CR96/IF(Source!BB96&lt;&gt;0,Source!BB96,1)*Source!I96)+(Source!CQ96/IF(Source!BC96&lt;&gt;0,Source!BC96,1)*Source!I96))+((Source!FX96/100)*((Source!CT96/IF(Source!BA96&lt;&gt;0,Source!BA96,1)*Source!I96)+(Source!CS96/IF(Source!BS96&lt;&gt;0,Source!BS96,1)*Source!I96)))+((Source!FY96/100)*((Source!CT96/IF(Source!BA96&lt;&gt;0,Source!BA96,1)*Source!I96)+(Source!CS96/IF(Source!BS96&lt;&gt;0,Source!BS96,1)*Source!I96))))),0)</f>
        <v>0</v>
      </c>
      <c r="R184">
        <f>IF(Source!BI96=4,((((Source!CT96/IF(Source!BA96&lt;&gt;0,Source!BA96,1)*Source!I96)+(Source!CR96/IF(Source!BB96&lt;&gt;0,Source!BB96,1)*Source!I96)+(Source!CQ96/IF(Source!BC96&lt;&gt;0,Source!BC96,1)*Source!I96))+((Source!FX96/100)*((Source!CT96/IF(Source!BA96&lt;&gt;0,Source!BA96,1)*Source!I96)+(Source!CS96/IF(Source!BS96&lt;&gt;0,Source!BS96,1)*Source!I96)))+((Source!FY96/100)*((Source!CT96/IF(Source!BA96&lt;&gt;0,Source!BA96,1)*Source!I96)+(Source!CS96/IF(Source!BS96&lt;&gt;0,Source!BS96,1)*Source!I96))))),0)</f>
        <v>1.0790000000000002</v>
      </c>
      <c r="S184">
        <f>IF(Source!BI96=1,Source!O96+Source!X96+Source!Y96,0)</f>
        <v>0</v>
      </c>
      <c r="T184">
        <f>IF(Source!BI96=2,Source!O96+Source!X96+Source!Y96,0)</f>
        <v>0</v>
      </c>
      <c r="U184">
        <f>IF(Source!BI96=3,Source!O96+Source!X96+Source!Y96,0)</f>
        <v>0</v>
      </c>
      <c r="V184">
        <f>IF(Source!BI96=4,Source!O96+Source!X96+Source!Y96,0)</f>
        <v>17.240000000000002</v>
      </c>
      <c r="W184">
        <f>ROUND((Source!CS96/IF(Source!BS96&lt;&gt;0,Source!BS96,1)*Source!I96),2)</f>
        <v>0</v>
      </c>
    </row>
    <row r="185" spans="1:12" ht="30">
      <c r="A185" s="29" t="str">
        <f>Source!E97</f>
        <v>22</v>
      </c>
      <c r="B185" s="29" t="str">
        <f>Source!F97</f>
        <v>Техчасть индексов</v>
      </c>
      <c r="C185" s="30" t="str">
        <f>Source!G97</f>
        <v>Вывоз мусора на 10 км</v>
      </c>
      <c r="D185" s="31" t="str">
        <f>Source!H97</f>
        <v>т</v>
      </c>
      <c r="E185" s="14">
        <f>ROUND(Source!I97,6)</f>
        <v>0.1</v>
      </c>
      <c r="F185" s="16">
        <f>IF(Source!AK97&lt;&gt;0,Source!AK97,Source!AL97+Source!AM97+Source!AO97)</f>
        <v>14.63</v>
      </c>
      <c r="G185" s="14"/>
      <c r="H185" s="14"/>
      <c r="I185" s="32">
        <f>IF(Source!BO97&lt;&gt;"",Source!BO97,"")</f>
      </c>
      <c r="J185" s="14"/>
      <c r="K185" s="14"/>
      <c r="L185" s="14"/>
    </row>
    <row r="186" spans="1:12" ht="15">
      <c r="A186" s="34"/>
      <c r="B186" s="34"/>
      <c r="C186" s="34" t="s">
        <v>107</v>
      </c>
      <c r="D186" s="34"/>
      <c r="E186" s="34"/>
      <c r="F186" s="37">
        <f>Source!AM97</f>
        <v>14.63</v>
      </c>
      <c r="G186" s="36">
        <f>Source!DE97</f>
      </c>
      <c r="H186" s="37">
        <f>ROUND((Source!CR97/IF(Source!BB97&lt;&gt;0,Source!BB97,1)*Source!I97),2)</f>
        <v>1.46</v>
      </c>
      <c r="I186" s="34"/>
      <c r="J186" s="34">
        <f>Source!BB97</f>
        <v>5.32</v>
      </c>
      <c r="K186" s="37">
        <f>Source!Q97</f>
        <v>7.78</v>
      </c>
      <c r="L186" s="34"/>
    </row>
    <row r="187" spans="1:23" ht="15.75">
      <c r="A187" s="14"/>
      <c r="B187" s="14"/>
      <c r="C187" s="14"/>
      <c r="D187" s="14"/>
      <c r="E187" s="14"/>
      <c r="F187" s="14"/>
      <c r="G187" s="14"/>
      <c r="H187" s="38">
        <f>ROUND((Source!CT97/IF(Source!BA97&lt;&gt;0,Source!BA97,1)*Source!I97),2)+ROUND((Source!CR97/IF(Source!BB97&lt;&gt;0,Source!BB97,1)*Source!I97),2)</f>
        <v>1.46</v>
      </c>
      <c r="I187" s="39"/>
      <c r="J187" s="39"/>
      <c r="K187" s="38">
        <f>Source!S97+Source!Q97</f>
        <v>7.78</v>
      </c>
      <c r="L187" s="38">
        <f>Source!U97</f>
        <v>0</v>
      </c>
      <c r="M187" s="33">
        <f>H187</f>
        <v>1.46</v>
      </c>
      <c r="N187">
        <f>ROUND((Source!CT97/IF(Source!BA97&lt;&gt;0,Source!BA97,1)*Source!I97),2)</f>
        <v>0</v>
      </c>
      <c r="O187">
        <f>IF(Source!BI97=1,((((Source!CT97/IF(Source!BA97&lt;&gt;0,Source!BA97,1)*Source!I97)+(Source!CR97/IF(Source!BB97&lt;&gt;0,Source!BB97,1)*Source!I97)+(Source!CQ97/IF(Source!BC97&lt;&gt;0,Source!BC97,1)*Source!I97))+((Source!FX97/100)*((Source!CT97/IF(Source!BA97&lt;&gt;0,Source!BA97,1)*Source!I97)+(Source!CS97/IF(Source!BS97&lt;&gt;0,Source!BS97,1)*Source!I97)))+((Source!FY97/100)*((Source!CT97/IF(Source!BA97&lt;&gt;0,Source!BA97,1)*Source!I97)+(Source!CS97/IF(Source!BS97&lt;&gt;0,Source!BS97,1)*Source!I97))))),0)</f>
        <v>0</v>
      </c>
      <c r="P187">
        <f>IF(Source!BI97=2,((((Source!CT97/IF(Source!BA97&lt;&gt;0,Source!BA97,1)*Source!I97)+(Source!CR97/IF(Source!BB97&lt;&gt;0,Source!BB97,1)*Source!I97)+(Source!CQ97/IF(Source!BC97&lt;&gt;0,Source!BC97,1)*Source!I97))+((Source!FX97/100)*((Source!CT97/IF(Source!BA97&lt;&gt;0,Source!BA97,1)*Source!I97)+(Source!CS97/IF(Source!BS97&lt;&gt;0,Source!BS97,1)*Source!I97)))+((Source!FY97/100)*((Source!CT97/IF(Source!BA97&lt;&gt;0,Source!BA97,1)*Source!I97)+(Source!CS97/IF(Source!BS97&lt;&gt;0,Source!BS97,1)*Source!I97))))),0)</f>
        <v>0</v>
      </c>
      <c r="Q187">
        <f>IF(Source!BI97=3,((((Source!CT97/IF(Source!BA97&lt;&gt;0,Source!BA97,1)*Source!I97)+(Source!CR97/IF(Source!BB97&lt;&gt;0,Source!BB97,1)*Source!I97)+(Source!CQ97/IF(Source!BC97&lt;&gt;0,Source!BC97,1)*Source!I97))+((Source!FX97/100)*((Source!CT97/IF(Source!BA97&lt;&gt;0,Source!BA97,1)*Source!I97)+(Source!CS97/IF(Source!BS97&lt;&gt;0,Source!BS97,1)*Source!I97)))+((Source!FY97/100)*((Source!CT97/IF(Source!BA97&lt;&gt;0,Source!BA97,1)*Source!I97)+(Source!CS97/IF(Source!BS97&lt;&gt;0,Source!BS97,1)*Source!I97))))),0)</f>
        <v>0</v>
      </c>
      <c r="R187">
        <f>IF(Source!BI97=4,((((Source!CT97/IF(Source!BA97&lt;&gt;0,Source!BA97,1)*Source!I97)+(Source!CR97/IF(Source!BB97&lt;&gt;0,Source!BB97,1)*Source!I97)+(Source!CQ97/IF(Source!BC97&lt;&gt;0,Source!BC97,1)*Source!I97))+((Source!FX97/100)*((Source!CT97/IF(Source!BA97&lt;&gt;0,Source!BA97,1)*Source!I97)+(Source!CS97/IF(Source!BS97&lt;&gt;0,Source!BS97,1)*Source!I97)))+((Source!FY97/100)*((Source!CT97/IF(Source!BA97&lt;&gt;0,Source!BA97,1)*Source!I97)+(Source!CS97/IF(Source!BS97&lt;&gt;0,Source!BS97,1)*Source!I97))))),0)</f>
        <v>1.463</v>
      </c>
      <c r="S187">
        <f>IF(Source!BI97=1,Source!O97+Source!X97+Source!Y97,0)</f>
        <v>0</v>
      </c>
      <c r="T187">
        <f>IF(Source!BI97=2,Source!O97+Source!X97+Source!Y97,0)</f>
        <v>0</v>
      </c>
      <c r="U187">
        <f>IF(Source!BI97=3,Source!O97+Source!X97+Source!Y97,0)</f>
        <v>0</v>
      </c>
      <c r="V187">
        <f>IF(Source!BI97=4,Source!O97+Source!X97+Source!Y97,0)</f>
        <v>7.78</v>
      </c>
      <c r="W187">
        <f>ROUND((Source!CS97/IF(Source!BS97&lt;&gt;0,Source!BS97,1)*Source!I97),2)</f>
        <v>0</v>
      </c>
    </row>
    <row r="188" spans="1:12" ht="90">
      <c r="A188" s="29" t="str">
        <f>Source!E98</f>
        <v>23</v>
      </c>
      <c r="B188" s="29" t="str">
        <f>Source!F98</f>
        <v>47-01-046-3</v>
      </c>
      <c r="C188" s="30" t="str">
        <f>Source!G98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D188" s="31" t="str">
        <f>Source!H98</f>
        <v>100 м2</v>
      </c>
      <c r="E188" s="14">
        <f>ROUND(Source!I98,6)</f>
        <v>3.1</v>
      </c>
      <c r="F188" s="16">
        <f>IF(Source!AK98&lt;&gt;0,Source!AK98,Source!AL98+Source!AM98+Source!AO98)</f>
        <v>2263.61</v>
      </c>
      <c r="G188" s="14"/>
      <c r="H188" s="14"/>
      <c r="I188" s="32" t="str">
        <f>IF(Source!BO98&lt;&gt;"",Source!BO98,"")</f>
        <v>47-01-046-3</v>
      </c>
      <c r="J188" s="14"/>
      <c r="K188" s="14"/>
      <c r="L188" s="14"/>
    </row>
    <row r="189" spans="1:12" ht="15">
      <c r="A189" s="14"/>
      <c r="B189" s="14"/>
      <c r="C189" s="14" t="s">
        <v>429</v>
      </c>
      <c r="D189" s="14"/>
      <c r="E189" s="14"/>
      <c r="F189" s="16">
        <f>Source!AO98</f>
        <v>278.54</v>
      </c>
      <c r="G189" s="32">
        <f>Source!DG98</f>
      </c>
      <c r="H189" s="16">
        <f>ROUND((Source!CT98/IF(Source!BA98&lt;&gt;0,Source!BA98,1)*Source!I98),2)</f>
        <v>863.47</v>
      </c>
      <c r="I189" s="14"/>
      <c r="J189" s="14">
        <f>Source!BA98</f>
        <v>17.84</v>
      </c>
      <c r="K189" s="16">
        <f>Source!S98</f>
        <v>15404.38</v>
      </c>
      <c r="L189" s="14"/>
    </row>
    <row r="190" spans="1:12" ht="15">
      <c r="A190" s="14"/>
      <c r="B190" s="14"/>
      <c r="C190" s="14" t="s">
        <v>107</v>
      </c>
      <c r="D190" s="14"/>
      <c r="E190" s="14"/>
      <c r="F190" s="16">
        <f>Source!AM98</f>
        <v>6.57</v>
      </c>
      <c r="G190" s="32">
        <f>Source!DE98</f>
      </c>
      <c r="H190" s="16">
        <f>ROUND((Source!CR98/IF(Source!BB98&lt;&gt;0,Source!BB98,1)*Source!I98),2)</f>
        <v>20.37</v>
      </c>
      <c r="I190" s="14"/>
      <c r="J190" s="14">
        <f>Source!BB98</f>
        <v>6.04</v>
      </c>
      <c r="K190" s="16">
        <f>Source!Q98</f>
        <v>123.02</v>
      </c>
      <c r="L190" s="14"/>
    </row>
    <row r="191" spans="1:12" ht="15">
      <c r="A191" s="14"/>
      <c r="B191" s="14"/>
      <c r="C191" s="14" t="s">
        <v>434</v>
      </c>
      <c r="D191" s="14"/>
      <c r="E191" s="14"/>
      <c r="F191" s="16">
        <f>Source!AN98</f>
        <v>0.95</v>
      </c>
      <c r="G191" s="32">
        <f>Source!DF98</f>
      </c>
      <c r="H191" s="40">
        <f>ROUND((Source!CS98/IF(Source!BS98&lt;&gt;0,Source!BS98,1)*Source!I98),2)</f>
        <v>2.95</v>
      </c>
      <c r="I191" s="14"/>
      <c r="J191" s="14">
        <f>Source!BS98</f>
        <v>17.84</v>
      </c>
      <c r="K191" s="40">
        <f>Source!R98</f>
        <v>52.54</v>
      </c>
      <c r="L191" s="14"/>
    </row>
    <row r="192" spans="1:12" ht="15">
      <c r="A192" s="14"/>
      <c r="B192" s="14"/>
      <c r="C192" s="14" t="s">
        <v>435</v>
      </c>
      <c r="D192" s="14"/>
      <c r="E192" s="14"/>
      <c r="F192" s="16">
        <f>Source!AL98</f>
        <v>1978.5</v>
      </c>
      <c r="G192" s="32">
        <f>Source!DD98</f>
      </c>
      <c r="H192" s="16">
        <f>ROUND((Source!CQ98/IF(Source!BC98&lt;&gt;0,Source!BC98,1)*Source!I98),2)</f>
        <v>6133.35</v>
      </c>
      <c r="I192" s="14"/>
      <c r="J192" s="14">
        <f>Source!BC98</f>
        <v>4.33</v>
      </c>
      <c r="K192" s="16">
        <f>Source!P98</f>
        <v>26557.41</v>
      </c>
      <c r="L192" s="14"/>
    </row>
    <row r="193" spans="1:24" ht="15">
      <c r="A193" s="14"/>
      <c r="B193" s="14"/>
      <c r="C193" s="14" t="s">
        <v>430</v>
      </c>
      <c r="D193" s="17" t="s">
        <v>431</v>
      </c>
      <c r="E193" s="14"/>
      <c r="F193" s="16">
        <f>Source!BZ98</f>
        <v>115</v>
      </c>
      <c r="G193" s="14"/>
      <c r="H193" s="16">
        <f>X193+X196+X197+X198</f>
        <v>996.38</v>
      </c>
      <c r="I193" s="14" t="str">
        <f>Source!FV98</f>
        <v>((*0.85))</v>
      </c>
      <c r="J193" s="16">
        <f>Source!AT98</f>
        <v>98</v>
      </c>
      <c r="K193" s="16">
        <f>Source!X98+Source!X99+Source!X100+Source!X101</f>
        <v>15147.78</v>
      </c>
      <c r="L193" s="14"/>
      <c r="X193">
        <f>ROUND((Source!FX98/100)*(ROUND((Source!CT98/IF(Source!BA98&lt;&gt;0,Source!BA98,1)*Source!I98),2)+ROUND((Source!CS98/IF(Source!BS98&lt;&gt;0,Source!BS98,1)*Source!I98),2)),2)</f>
        <v>996.38</v>
      </c>
    </row>
    <row r="194" spans="1:25" ht="15">
      <c r="A194" s="14"/>
      <c r="B194" s="14"/>
      <c r="C194" s="14" t="s">
        <v>123</v>
      </c>
      <c r="D194" s="17" t="s">
        <v>431</v>
      </c>
      <c r="E194" s="14"/>
      <c r="F194" s="16">
        <f>Source!CA98</f>
        <v>90</v>
      </c>
      <c r="G194" s="14"/>
      <c r="H194" s="16">
        <f>Y194+Y196+Y197+Y198</f>
        <v>779.78</v>
      </c>
      <c r="I194" s="14" t="str">
        <f>Source!FW98</f>
        <v>((*0.8))</v>
      </c>
      <c r="J194" s="16">
        <f>Source!AU98</f>
        <v>72</v>
      </c>
      <c r="K194" s="16">
        <f>Source!Y98+Source!Y99+Source!Y100+Source!Y101</f>
        <v>11128.98</v>
      </c>
      <c r="L194" s="14"/>
      <c r="Y194">
        <f>ROUND((Source!FY98/100)*(ROUND((Source!CT98/IF(Source!BA98&lt;&gt;0,Source!BA98,1)*Source!I98),2)+ROUND((Source!CS98/IF(Source!BS98&lt;&gt;0,Source!BS98,1)*Source!I98),2)),2)</f>
        <v>779.78</v>
      </c>
    </row>
    <row r="195" spans="1:12" ht="15">
      <c r="A195" s="14"/>
      <c r="B195" s="14"/>
      <c r="C195" s="14" t="s">
        <v>432</v>
      </c>
      <c r="D195" s="17" t="s">
        <v>433</v>
      </c>
      <c r="E195" s="14">
        <f>Source!AQ98</f>
        <v>35.08</v>
      </c>
      <c r="F195" s="14"/>
      <c r="G195" s="32">
        <f>Source!DI98</f>
      </c>
      <c r="H195" s="14"/>
      <c r="I195" s="14"/>
      <c r="J195" s="14"/>
      <c r="K195" s="14"/>
      <c r="L195" s="16">
        <f>Source!U98</f>
        <v>108.748</v>
      </c>
    </row>
    <row r="196" spans="1:25" ht="30">
      <c r="A196" s="29"/>
      <c r="B196" s="29" t="str">
        <f>Source!F99</f>
        <v>407-0013</v>
      </c>
      <c r="C196" s="30" t="str">
        <f>Source!G99</f>
        <v>Земля растительная механизированной заготовки</v>
      </c>
      <c r="D196" s="31" t="str">
        <f>Source!H99</f>
        <v>м3</v>
      </c>
      <c r="E196" s="14">
        <f>ROUND(Source!I99,6)</f>
        <v>-46.5</v>
      </c>
      <c r="F196" s="16">
        <f>IF(Source!AL99=0,Source!AK99,Source!AL99)</f>
        <v>131.9</v>
      </c>
      <c r="G196" s="32">
        <f>Source!DD99</f>
      </c>
      <c r="H196" s="41">
        <f>ROUND((Source!CR99/IF(Source!BB99&lt;&gt;0,Source!BB99,1)*Source!I99),2)+ROUND((Source!CQ99/IF(Source!BC99&lt;&gt;0,Source!BC99,1)*Source!I99),2)+ROUND((Source!CT99/IF(Source!BA99&lt;&gt;0,Source!BA99,1)*Source!I99),2)</f>
        <v>-6133.35</v>
      </c>
      <c r="I196" s="32" t="str">
        <f>IF(Source!BO99&lt;&gt;"",Source!BO99,"")</f>
        <v>407-0013</v>
      </c>
      <c r="J196" s="14">
        <f>Source!BC99</f>
        <v>4.33</v>
      </c>
      <c r="K196" s="16">
        <f>Source!O99</f>
        <v>-26557.41</v>
      </c>
      <c r="L196" s="14"/>
      <c r="N196">
        <f>ROUND((Source!CT99/IF(Source!BA99&lt;&gt;0,Source!BA99,1)*Source!I99),2)</f>
        <v>0</v>
      </c>
      <c r="O196">
        <f>IF(Source!BI99=1,(ROUND((Source!CR99/IF(Source!BB99&lt;&gt;0,Source!BB99,1)*Source!I99),2)+ROUND((Source!CQ99/IF(Source!BC99&lt;&gt;0,Source!BC99,1)*Source!I99),2)+ROUND((Source!CT99/IF(Source!BA99&lt;&gt;0,Source!BA99,1)*Source!I99),2)),0)</f>
        <v>-6133.35</v>
      </c>
      <c r="P196">
        <f>IF(Source!BI99=2,(ROUND((Source!CR99/IF(Source!BB99&lt;&gt;0,Source!BB99,1)*Source!I99),2)+ROUND((Source!CQ99/IF(Source!BC99&lt;&gt;0,Source!BC99,1)*Source!I99),2)+ROUND((Source!CT99/IF(Source!BA99&lt;&gt;0,Source!BA99,1)*Source!I99),2)),0)</f>
        <v>0</v>
      </c>
      <c r="Q196">
        <f>IF(Source!BI99=3,(ROUND((Source!CR99/IF(Source!BB99&lt;&gt;0,Source!BB99,1)*Source!I99),2)+ROUND((Source!CQ99/IF(Source!BC99&lt;&gt;0,Source!BC99,1)*Source!I99),2)+ROUND((Source!CT99/IF(Source!BA99&lt;&gt;0,Source!BA99,1)*Source!I99),2)),0)</f>
        <v>0</v>
      </c>
      <c r="R196">
        <f>IF(Source!BI99=4,(ROUND((Source!CR99/IF(Source!BB99&lt;&gt;0,Source!BB99,1)*Source!I99),2)+ROUND((Source!CQ99/IF(Source!BC99&lt;&gt;0,Source!BC99,1)*Source!I99),2)+ROUND((Source!CT99/IF(Source!BA99&lt;&gt;0,Source!BA99,1)*Source!I99),2)),0)</f>
        <v>0</v>
      </c>
      <c r="S196">
        <f>IF(Source!BI99=1,Source!O99+Source!X99+Source!Y99,0)</f>
        <v>-26557.41</v>
      </c>
      <c r="T196">
        <f>IF(Source!BI99=2,Source!O99+Source!X99+Source!Y99,0)</f>
        <v>0</v>
      </c>
      <c r="U196">
        <f>IF(Source!BI99=3,Source!O99+Source!X99+Source!Y99,0)</f>
        <v>0</v>
      </c>
      <c r="V196">
        <f>IF(Source!BI99=4,Source!O99+Source!X99+Source!Y99,0)</f>
        <v>0</v>
      </c>
      <c r="W196">
        <f>ROUND((Source!CS99/IF(Source!BS99&lt;&gt;0,Source!BS99,1)*Source!I99),2)</f>
        <v>0</v>
      </c>
      <c r="X196">
        <f>ROUND((Source!FX99/100)*(ROUND((Source!CT99/IF(Source!BA99&lt;&gt;0,Source!BA99,1)*Source!I99),2)+ROUND((Source!CS99/IF(Source!BS99&lt;&gt;0,Source!BS99,1)*Source!I99),2)),2)</f>
        <v>0</v>
      </c>
      <c r="Y196">
        <f>ROUND((Source!FY99/100)*(ROUND((Source!CT99/IF(Source!BA99&lt;&gt;0,Source!BA99,1)*Source!I99),2)+ROUND((Source!CS99/IF(Source!BS99&lt;&gt;0,Source!BS99,1)*Source!I99),2)),2)</f>
        <v>0</v>
      </c>
    </row>
    <row r="197" spans="1:25" ht="30">
      <c r="A197" s="29"/>
      <c r="B197" s="29" t="str">
        <f>Source!F100</f>
        <v>407-0013</v>
      </c>
      <c r="C197" s="30" t="str">
        <f>Source!G100</f>
        <v>Земля растительная механизированной заготовки</v>
      </c>
      <c r="D197" s="31" t="str">
        <f>Source!H100</f>
        <v>м3</v>
      </c>
      <c r="E197" s="14">
        <f>ROUND(Source!I100,6)</f>
        <v>15.5</v>
      </c>
      <c r="F197" s="16">
        <f>IF(Source!AL100=0,Source!AK100,Source!AL100)</f>
        <v>131.9</v>
      </c>
      <c r="G197" s="32">
        <f>Source!DD100</f>
      </c>
      <c r="H197" s="41">
        <f>ROUND((Source!CR100/IF(Source!BB100&lt;&gt;0,Source!BB100,1)*Source!I100),2)+ROUND((Source!CQ100/IF(Source!BC100&lt;&gt;0,Source!BC100,1)*Source!I100),2)+ROUND((Source!CT100/IF(Source!BA100&lt;&gt;0,Source!BA100,1)*Source!I100),2)</f>
        <v>2044.45</v>
      </c>
      <c r="I197" s="32" t="str">
        <f>IF(Source!BO100&lt;&gt;"",Source!BO100,"")</f>
        <v>407-0013</v>
      </c>
      <c r="J197" s="14">
        <f>Source!BC100</f>
        <v>4.33</v>
      </c>
      <c r="K197" s="16">
        <f>Source!O100</f>
        <v>8852.47</v>
      </c>
      <c r="L197" s="14"/>
      <c r="N197">
        <f>ROUND((Source!CT100/IF(Source!BA100&lt;&gt;0,Source!BA100,1)*Source!I100),2)</f>
        <v>0</v>
      </c>
      <c r="O197">
        <f>IF(Source!BI100=1,(ROUND((Source!CR100/IF(Source!BB100&lt;&gt;0,Source!BB100,1)*Source!I100),2)+ROUND((Source!CQ100/IF(Source!BC100&lt;&gt;0,Source!BC100,1)*Source!I100),2)+ROUND((Source!CT100/IF(Source!BA100&lt;&gt;0,Source!BA100,1)*Source!I100),2)),0)</f>
        <v>2044.45</v>
      </c>
      <c r="P197">
        <f>IF(Source!BI100=2,(ROUND((Source!CR100/IF(Source!BB100&lt;&gt;0,Source!BB100,1)*Source!I100),2)+ROUND((Source!CQ100/IF(Source!BC100&lt;&gt;0,Source!BC100,1)*Source!I100),2)+ROUND((Source!CT100/IF(Source!BA100&lt;&gt;0,Source!BA100,1)*Source!I100),2)),0)</f>
        <v>0</v>
      </c>
      <c r="Q197">
        <f>IF(Source!BI100=3,(ROUND((Source!CR100/IF(Source!BB100&lt;&gt;0,Source!BB100,1)*Source!I100),2)+ROUND((Source!CQ100/IF(Source!BC100&lt;&gt;0,Source!BC100,1)*Source!I100),2)+ROUND((Source!CT100/IF(Source!BA100&lt;&gt;0,Source!BA100,1)*Source!I100),2)),0)</f>
        <v>0</v>
      </c>
      <c r="R197">
        <f>IF(Source!BI100=4,(ROUND((Source!CR100/IF(Source!BB100&lt;&gt;0,Source!BB100,1)*Source!I100),2)+ROUND((Source!CQ100/IF(Source!BC100&lt;&gt;0,Source!BC100,1)*Source!I100),2)+ROUND((Source!CT100/IF(Source!BA100&lt;&gt;0,Source!BA100,1)*Source!I100),2)),0)</f>
        <v>0</v>
      </c>
      <c r="S197">
        <f>IF(Source!BI100=1,Source!O100+Source!X100+Source!Y100,0)</f>
        <v>8852.47</v>
      </c>
      <c r="T197">
        <f>IF(Source!BI100=2,Source!O100+Source!X100+Source!Y100,0)</f>
        <v>0</v>
      </c>
      <c r="U197">
        <f>IF(Source!BI100=3,Source!O100+Source!X100+Source!Y100,0)</f>
        <v>0</v>
      </c>
      <c r="V197">
        <f>IF(Source!BI100=4,Source!O100+Source!X100+Source!Y100,0)</f>
        <v>0</v>
      </c>
      <c r="W197">
        <f>ROUND((Source!CS100/IF(Source!BS100&lt;&gt;0,Source!BS100,1)*Source!I100),2)</f>
        <v>0</v>
      </c>
      <c r="X197">
        <f>ROUND((Source!FX100/100)*(ROUND((Source!CT100/IF(Source!BA100&lt;&gt;0,Source!BA100,1)*Source!I100),2)+ROUND((Source!CS100/IF(Source!BS100&lt;&gt;0,Source!BS100,1)*Source!I100),2)),2)</f>
        <v>0</v>
      </c>
      <c r="Y197">
        <f>ROUND((Source!FY100/100)*(ROUND((Source!CT100/IF(Source!BA100&lt;&gt;0,Source!BA100,1)*Source!I100),2)+ROUND((Source!CS100/IF(Source!BS100&lt;&gt;0,Source!BS100,1)*Source!I100),2)),2)</f>
        <v>0</v>
      </c>
    </row>
    <row r="198" spans="1:25" ht="30">
      <c r="A198" s="42"/>
      <c r="B198" s="42" t="str">
        <f>Source!F101</f>
        <v>408-0122</v>
      </c>
      <c r="C198" s="43" t="str">
        <f>Source!G101</f>
        <v>Песок природный для строительных работ средний</v>
      </c>
      <c r="D198" s="44" t="str">
        <f>Source!H101</f>
        <v>м3</v>
      </c>
      <c r="E198" s="34">
        <f>ROUND(Source!I101,6)</f>
        <v>15.5</v>
      </c>
      <c r="F198" s="37">
        <f>IF(Source!AL101=0,Source!AK101,Source!AL101)</f>
        <v>55.26</v>
      </c>
      <c r="G198" s="36">
        <f>Source!DD101</f>
      </c>
      <c r="H198" s="45">
        <f>ROUND((Source!CR101/IF(Source!BB101&lt;&gt;0,Source!BB101,1)*Source!I101),2)+ROUND((Source!CQ101/IF(Source!BC101&lt;&gt;0,Source!BC101,1)*Source!I101),2)+ROUND((Source!CT101/IF(Source!BA101&lt;&gt;0,Source!BA101,1)*Source!I101),2)</f>
        <v>856.53</v>
      </c>
      <c r="I198" s="36" t="str">
        <f>IF(Source!BO101&lt;&gt;"",Source!BO101,"")</f>
        <v>408-0122</v>
      </c>
      <c r="J198" s="34">
        <f>Source!BC101</f>
        <v>9.25</v>
      </c>
      <c r="K198" s="37">
        <f>Source!O101</f>
        <v>7922.9</v>
      </c>
      <c r="L198" s="34"/>
      <c r="N198">
        <f>ROUND((Source!CT101/IF(Source!BA101&lt;&gt;0,Source!BA101,1)*Source!I101),2)</f>
        <v>0</v>
      </c>
      <c r="O198">
        <f>IF(Source!BI101=1,(ROUND((Source!CR101/IF(Source!BB101&lt;&gt;0,Source!BB101,1)*Source!I101),2)+ROUND((Source!CQ101/IF(Source!BC101&lt;&gt;0,Source!BC101,1)*Source!I101),2)+ROUND((Source!CT101/IF(Source!BA101&lt;&gt;0,Source!BA101,1)*Source!I101),2)),0)</f>
        <v>856.53</v>
      </c>
      <c r="P198">
        <f>IF(Source!BI101=2,(ROUND((Source!CR101/IF(Source!BB101&lt;&gt;0,Source!BB101,1)*Source!I101),2)+ROUND((Source!CQ101/IF(Source!BC101&lt;&gt;0,Source!BC101,1)*Source!I101),2)+ROUND((Source!CT101/IF(Source!BA101&lt;&gt;0,Source!BA101,1)*Source!I101),2)),0)</f>
        <v>0</v>
      </c>
      <c r="Q198">
        <f>IF(Source!BI101=3,(ROUND((Source!CR101/IF(Source!BB101&lt;&gt;0,Source!BB101,1)*Source!I101),2)+ROUND((Source!CQ101/IF(Source!BC101&lt;&gt;0,Source!BC101,1)*Source!I101),2)+ROUND((Source!CT101/IF(Source!BA101&lt;&gt;0,Source!BA101,1)*Source!I101),2)),0)</f>
        <v>0</v>
      </c>
      <c r="R198">
        <f>IF(Source!BI101=4,(ROUND((Source!CR101/IF(Source!BB101&lt;&gt;0,Source!BB101,1)*Source!I101),2)+ROUND((Source!CQ101/IF(Source!BC101&lt;&gt;0,Source!BC101,1)*Source!I101),2)+ROUND((Source!CT101/IF(Source!BA101&lt;&gt;0,Source!BA101,1)*Source!I101),2)),0)</f>
        <v>0</v>
      </c>
      <c r="S198">
        <f>IF(Source!BI101=1,Source!O101+Source!X101+Source!Y101,0)</f>
        <v>7922.9</v>
      </c>
      <c r="T198">
        <f>IF(Source!BI101=2,Source!O101+Source!X101+Source!Y101,0)</f>
        <v>0</v>
      </c>
      <c r="U198">
        <f>IF(Source!BI101=3,Source!O101+Source!X101+Source!Y101,0)</f>
        <v>0</v>
      </c>
      <c r="V198">
        <f>IF(Source!BI101=4,Source!O101+Source!X101+Source!Y101,0)</f>
        <v>0</v>
      </c>
      <c r="W198">
        <f>ROUND((Source!CS101/IF(Source!BS101&lt;&gt;0,Source!BS101,1)*Source!I101),2)</f>
        <v>0</v>
      </c>
      <c r="X198">
        <f>ROUND((Source!FX101/100)*(ROUND((Source!CT101/IF(Source!BA101&lt;&gt;0,Source!BA101,1)*Source!I101),2)+ROUND((Source!CS101/IF(Source!BS101&lt;&gt;0,Source!BS101,1)*Source!I101),2)),2)</f>
        <v>0</v>
      </c>
      <c r="Y198">
        <f>ROUND((Source!FY101/100)*(ROUND((Source!CT101/IF(Source!BA101&lt;&gt;0,Source!BA101,1)*Source!I101),2)+ROUND((Source!CS101/IF(Source!BS101&lt;&gt;0,Source!BS101,1)*Source!I101),2)),2)</f>
        <v>0</v>
      </c>
    </row>
    <row r="199" spans="1:23" ht="15.75">
      <c r="A199" s="14"/>
      <c r="B199" s="14"/>
      <c r="C199" s="14"/>
      <c r="D199" s="14"/>
      <c r="E199" s="14"/>
      <c r="F199" s="14"/>
      <c r="G199" s="14"/>
      <c r="H199" s="38">
        <f>ROUND((Source!CT98/IF(Source!BA98&lt;&gt;0,Source!BA98,1)*Source!I98),2)+ROUND((Source!CR98/IF(Source!BB98&lt;&gt;0,Source!BB98,1)*Source!I98),2)+H192+H193+H194+H196+H197+H198</f>
        <v>5560.98</v>
      </c>
      <c r="I199" s="39"/>
      <c r="J199" s="39"/>
      <c r="K199" s="38">
        <f>Source!S98+Source!Q98+K192+K193+K194+K196+K197+K198</f>
        <v>58579.52999999999</v>
      </c>
      <c r="L199" s="38">
        <f>Source!U98</f>
        <v>108.748</v>
      </c>
      <c r="M199" s="33">
        <f>H199</f>
        <v>5560.98</v>
      </c>
      <c r="N199">
        <f>ROUND((Source!CT98/IF(Source!BA98&lt;&gt;0,Source!BA98,1)*Source!I98),2)</f>
        <v>863.47</v>
      </c>
      <c r="O199">
        <f>IF(Source!BI98=1,((((Source!CT98/IF(Source!BA98&lt;&gt;0,Source!BA98,1)*Source!I98)+(Source!CR98/IF(Source!BB98&lt;&gt;0,Source!BB98,1)*Source!I98)+(Source!CQ98/IF(Source!BC98&lt;&gt;0,Source!BC98,1)*Source!I98))+((Source!FX98/100)*((Source!CT98/IF(Source!BA98&lt;&gt;0,Source!BA98,1)*Source!I98)+(Source!CS98/IF(Source!BS98&lt;&gt;0,Source!BS98,1)*Source!I98)))+((Source!FY98/100)*((Source!CT98/IF(Source!BA98&lt;&gt;0,Source!BA98,1)*Source!I98)+(Source!CS98/IF(Source!BS98&lt;&gt;0,Source!BS98,1)*Source!I98))))),0)</f>
        <v>8793.349950000002</v>
      </c>
      <c r="P199">
        <f>IF(Source!BI98=2,((((Source!CT98/IF(Source!BA98&lt;&gt;0,Source!BA98,1)*Source!I98)+(Source!CR98/IF(Source!BB98&lt;&gt;0,Source!BB98,1)*Source!I98)+(Source!CQ98/IF(Source!BC98&lt;&gt;0,Source!BC98,1)*Source!I98))+((Source!FX98/100)*((Source!CT98/IF(Source!BA98&lt;&gt;0,Source!BA98,1)*Source!I98)+(Source!CS98/IF(Source!BS98&lt;&gt;0,Source!BS98,1)*Source!I98)))+((Source!FY98/100)*((Source!CT98/IF(Source!BA98&lt;&gt;0,Source!BA98,1)*Source!I98)+(Source!CS98/IF(Source!BS98&lt;&gt;0,Source!BS98,1)*Source!I98))))),0)</f>
        <v>0</v>
      </c>
      <c r="Q199">
        <f>IF(Source!BI98=3,((((Source!CT98/IF(Source!BA98&lt;&gt;0,Source!BA98,1)*Source!I98)+(Source!CR98/IF(Source!BB98&lt;&gt;0,Source!BB98,1)*Source!I98)+(Source!CQ98/IF(Source!BC98&lt;&gt;0,Source!BC98,1)*Source!I98))+((Source!FX98/100)*((Source!CT98/IF(Source!BA98&lt;&gt;0,Source!BA98,1)*Source!I98)+(Source!CS98/IF(Source!BS98&lt;&gt;0,Source!BS98,1)*Source!I98)))+((Source!FY98/100)*((Source!CT98/IF(Source!BA98&lt;&gt;0,Source!BA98,1)*Source!I98)+(Source!CS98/IF(Source!BS98&lt;&gt;0,Source!BS98,1)*Source!I98))))),0)</f>
        <v>0</v>
      </c>
      <c r="R199">
        <f>IF(Source!BI98=4,((((Source!CT98/IF(Source!BA98&lt;&gt;0,Source!BA98,1)*Source!I98)+(Source!CR98/IF(Source!BB98&lt;&gt;0,Source!BB98,1)*Source!I98)+(Source!CQ98/IF(Source!BC98&lt;&gt;0,Source!BC98,1)*Source!I98))+((Source!FX98/100)*((Source!CT98/IF(Source!BA98&lt;&gt;0,Source!BA98,1)*Source!I98)+(Source!CS98/IF(Source!BS98&lt;&gt;0,Source!BS98,1)*Source!I98)))+((Source!FY98/100)*((Source!CT98/IF(Source!BA98&lt;&gt;0,Source!BA98,1)*Source!I98)+(Source!CS98/IF(Source!BS98&lt;&gt;0,Source!BS98,1)*Source!I98))))),0)</f>
        <v>0</v>
      </c>
      <c r="S199">
        <f>IF(Source!BI98=1,Source!O98+Source!X98+Source!Y98,0)</f>
        <v>68361.56999999999</v>
      </c>
      <c r="T199">
        <f>IF(Source!BI98=2,Source!O98+Source!X98+Source!Y98,0)</f>
        <v>0</v>
      </c>
      <c r="U199">
        <f>IF(Source!BI98=3,Source!O98+Source!X98+Source!Y98,0)</f>
        <v>0</v>
      </c>
      <c r="V199">
        <f>IF(Source!BI98=4,Source!O98+Source!X98+Source!Y98,0)</f>
        <v>0</v>
      </c>
      <c r="W199">
        <f>ROUND((Source!CS98/IF(Source!BS98&lt;&gt;0,Source!BS98,1)*Source!I98),2)</f>
        <v>2.95</v>
      </c>
    </row>
    <row r="201" spans="3:23" s="39" customFormat="1" ht="15.75">
      <c r="C201" s="39" t="s">
        <v>174</v>
      </c>
      <c r="G201" s="91">
        <f>SUM(M172:M200)</f>
        <v>10327.220000000001</v>
      </c>
      <c r="H201" s="91"/>
      <c r="J201" s="91">
        <f>ROUND(Source!AB93+Source!AK93+Source!AL93+Source!AE93*0/100,2)</f>
        <v>101446.49</v>
      </c>
      <c r="K201" s="91"/>
      <c r="L201" s="38">
        <f>Source!AH93</f>
        <v>125.31</v>
      </c>
      <c r="N201" s="38">
        <f aca="true" t="shared" si="2" ref="N201:W201">SUM(N172:N200)</f>
        <v>1003.97</v>
      </c>
      <c r="O201" s="38">
        <f t="shared" si="2"/>
        <v>10324.672750000002</v>
      </c>
      <c r="P201" s="38">
        <f t="shared" si="2"/>
        <v>0</v>
      </c>
      <c r="Q201" s="38">
        <f t="shared" si="2"/>
        <v>0</v>
      </c>
      <c r="R201" s="38">
        <f t="shared" si="2"/>
        <v>2.5420000000000003</v>
      </c>
      <c r="S201" s="38">
        <f t="shared" si="2"/>
        <v>101421.46999999999</v>
      </c>
      <c r="T201" s="38">
        <f t="shared" si="2"/>
        <v>0</v>
      </c>
      <c r="U201" s="38">
        <f t="shared" si="2"/>
        <v>0</v>
      </c>
      <c r="V201" s="38">
        <f t="shared" si="2"/>
        <v>25.020000000000003</v>
      </c>
      <c r="W201" s="39">
        <f t="shared" si="2"/>
        <v>232.39</v>
      </c>
    </row>
    <row r="203" spans="3:30" ht="18">
      <c r="C203" s="26" t="s">
        <v>428</v>
      </c>
      <c r="D203" s="89" t="str">
        <f>IF(Source!C12="1",Source!F119,Source!G119)</f>
        <v>Внутридворовая территория около д. 35а</v>
      </c>
      <c r="E203" s="92"/>
      <c r="F203" s="92"/>
      <c r="G203" s="92"/>
      <c r="H203" s="92"/>
      <c r="I203" s="92"/>
      <c r="J203" s="92"/>
      <c r="K203" s="92"/>
      <c r="L203" s="92"/>
      <c r="AD203" s="28" t="str">
        <f>IF(Source!C12="1",Source!F119,Source!G119)</f>
        <v>Внутридворовая территория около д. 35а</v>
      </c>
    </row>
    <row r="205" spans="1:12" ht="90">
      <c r="A205" s="29" t="str">
        <f>Source!E123</f>
        <v>24</v>
      </c>
      <c r="B205" s="29" t="str">
        <f>Source!F123</f>
        <v>47-01-046-3</v>
      </c>
      <c r="C205" s="30" t="str">
        <f>Source!G123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D205" s="31" t="str">
        <f>Source!H123</f>
        <v>100 м2</v>
      </c>
      <c r="E205" s="14">
        <f>ROUND(Source!I123,6)</f>
        <v>4.07</v>
      </c>
      <c r="F205" s="16">
        <f>IF(Source!AK123&lt;&gt;0,Source!AK123,Source!AL123+Source!AM123+Source!AO123)</f>
        <v>2263.61</v>
      </c>
      <c r="G205" s="14"/>
      <c r="H205" s="14"/>
      <c r="I205" s="32" t="str">
        <f>IF(Source!BO123&lt;&gt;"",Source!BO123,"")</f>
        <v>47-01-046-3</v>
      </c>
      <c r="J205" s="14"/>
      <c r="K205" s="14"/>
      <c r="L205" s="14"/>
    </row>
    <row r="206" spans="1:12" ht="15">
      <c r="A206" s="14"/>
      <c r="B206" s="14"/>
      <c r="C206" s="14" t="s">
        <v>429</v>
      </c>
      <c r="D206" s="14"/>
      <c r="E206" s="14"/>
      <c r="F206" s="16">
        <f>Source!AO123</f>
        <v>278.54</v>
      </c>
      <c r="G206" s="32">
        <f>Source!DG123</f>
      </c>
      <c r="H206" s="16">
        <f>ROUND((Source!CT123/IF(Source!BA123&lt;&gt;0,Source!BA123,1)*Source!I123),2)</f>
        <v>1133.66</v>
      </c>
      <c r="I206" s="14"/>
      <c r="J206" s="14">
        <f>Source!BA123</f>
        <v>17.84</v>
      </c>
      <c r="K206" s="16">
        <f>Source!S123</f>
        <v>20224.46</v>
      </c>
      <c r="L206" s="14"/>
    </row>
    <row r="207" spans="1:12" ht="15">
      <c r="A207" s="14"/>
      <c r="B207" s="14"/>
      <c r="C207" s="14" t="s">
        <v>107</v>
      </c>
      <c r="D207" s="14"/>
      <c r="E207" s="14"/>
      <c r="F207" s="16">
        <f>Source!AM123</f>
        <v>6.57</v>
      </c>
      <c r="G207" s="32">
        <f>Source!DE123</f>
      </c>
      <c r="H207" s="16">
        <f>ROUND((Source!CR123/IF(Source!BB123&lt;&gt;0,Source!BB123,1)*Source!I123),2)</f>
        <v>26.74</v>
      </c>
      <c r="I207" s="14"/>
      <c r="J207" s="14">
        <f>Source!BB123</f>
        <v>6.04</v>
      </c>
      <c r="K207" s="16">
        <f>Source!Q123</f>
        <v>161.51</v>
      </c>
      <c r="L207" s="14"/>
    </row>
    <row r="208" spans="1:12" ht="15">
      <c r="A208" s="14"/>
      <c r="B208" s="14"/>
      <c r="C208" s="14" t="s">
        <v>434</v>
      </c>
      <c r="D208" s="14"/>
      <c r="E208" s="14"/>
      <c r="F208" s="16">
        <f>Source!AN123</f>
        <v>0.95</v>
      </c>
      <c r="G208" s="32">
        <f>Source!DF123</f>
      </c>
      <c r="H208" s="40">
        <f>ROUND((Source!CS123/IF(Source!BS123&lt;&gt;0,Source!BS123,1)*Source!I123),2)</f>
        <v>3.87</v>
      </c>
      <c r="I208" s="14"/>
      <c r="J208" s="14">
        <f>Source!BS123</f>
        <v>17.84</v>
      </c>
      <c r="K208" s="40">
        <f>Source!R123</f>
        <v>68.98</v>
      </c>
      <c r="L208" s="14"/>
    </row>
    <row r="209" spans="1:12" ht="15">
      <c r="A209" s="14"/>
      <c r="B209" s="14"/>
      <c r="C209" s="14" t="s">
        <v>435</v>
      </c>
      <c r="D209" s="14"/>
      <c r="E209" s="14"/>
      <c r="F209" s="16">
        <f>Source!AL123</f>
        <v>1978.5</v>
      </c>
      <c r="G209" s="32">
        <f>Source!DD123</f>
      </c>
      <c r="H209" s="16">
        <f>ROUND((Source!CQ123/IF(Source!BC123&lt;&gt;0,Source!BC123,1)*Source!I123),2)</f>
        <v>8052.5</v>
      </c>
      <c r="I209" s="14"/>
      <c r="J209" s="14">
        <f>Source!BC123</f>
        <v>4.33</v>
      </c>
      <c r="K209" s="16">
        <f>Source!P123</f>
        <v>34867.3</v>
      </c>
      <c r="L209" s="14"/>
    </row>
    <row r="210" spans="1:24" ht="15">
      <c r="A210" s="14"/>
      <c r="B210" s="14"/>
      <c r="C210" s="14" t="s">
        <v>430</v>
      </c>
      <c r="D210" s="17" t="s">
        <v>431</v>
      </c>
      <c r="E210" s="14"/>
      <c r="F210" s="16">
        <f>Source!BZ123</f>
        <v>115</v>
      </c>
      <c r="G210" s="14"/>
      <c r="H210" s="16">
        <f>X210+X213+X214+X215</f>
        <v>1308.16</v>
      </c>
      <c r="I210" s="14" t="str">
        <f>Source!FV123</f>
        <v>((*0.85))</v>
      </c>
      <c r="J210" s="16">
        <f>Source!AT123</f>
        <v>98</v>
      </c>
      <c r="K210" s="16">
        <f>Source!X123+Source!X124+Source!X125+Source!X126</f>
        <v>19887.57</v>
      </c>
      <c r="L210" s="14"/>
      <c r="X210">
        <f>ROUND((Source!FX123/100)*(ROUND((Source!CT123/IF(Source!BA123&lt;&gt;0,Source!BA123,1)*Source!I123),2)+ROUND((Source!CS123/IF(Source!BS123&lt;&gt;0,Source!BS123,1)*Source!I123),2)),2)</f>
        <v>1308.16</v>
      </c>
    </row>
    <row r="211" spans="1:25" ht="15">
      <c r="A211" s="14"/>
      <c r="B211" s="14"/>
      <c r="C211" s="14" t="s">
        <v>123</v>
      </c>
      <c r="D211" s="17" t="s">
        <v>431</v>
      </c>
      <c r="E211" s="14"/>
      <c r="F211" s="16">
        <f>Source!CA123</f>
        <v>90</v>
      </c>
      <c r="G211" s="14"/>
      <c r="H211" s="16">
        <f>Y211+Y213+Y214+Y215</f>
        <v>1023.78</v>
      </c>
      <c r="I211" s="14" t="str">
        <f>Source!FW123</f>
        <v>((*0.8))</v>
      </c>
      <c r="J211" s="16">
        <f>Source!AU123</f>
        <v>72</v>
      </c>
      <c r="K211" s="16">
        <f>Source!Y123+Source!Y124+Source!Y125+Source!Y126</f>
        <v>14611.28</v>
      </c>
      <c r="L211" s="14"/>
      <c r="Y211">
        <f>ROUND((Source!FY123/100)*(ROUND((Source!CT123/IF(Source!BA123&lt;&gt;0,Source!BA123,1)*Source!I123),2)+ROUND((Source!CS123/IF(Source!BS123&lt;&gt;0,Source!BS123,1)*Source!I123),2)),2)</f>
        <v>1023.78</v>
      </c>
    </row>
    <row r="212" spans="1:12" ht="15">
      <c r="A212" s="14"/>
      <c r="B212" s="14"/>
      <c r="C212" s="14" t="s">
        <v>432</v>
      </c>
      <c r="D212" s="17" t="s">
        <v>433</v>
      </c>
      <c r="E212" s="14">
        <f>Source!AQ123</f>
        <v>35.08</v>
      </c>
      <c r="F212" s="14"/>
      <c r="G212" s="32">
        <f>Source!DI123</f>
      </c>
      <c r="H212" s="14"/>
      <c r="I212" s="14"/>
      <c r="J212" s="14"/>
      <c r="K212" s="14"/>
      <c r="L212" s="16">
        <f>Source!U123</f>
        <v>142.7756</v>
      </c>
    </row>
    <row r="213" spans="1:25" ht="30">
      <c r="A213" s="29"/>
      <c r="B213" s="29" t="str">
        <f>Source!F124</f>
        <v>407-0013</v>
      </c>
      <c r="C213" s="30" t="str">
        <f>Source!G124</f>
        <v>Земля растительная механизированной заготовки</v>
      </c>
      <c r="D213" s="31" t="str">
        <f>Source!H124</f>
        <v>м3</v>
      </c>
      <c r="E213" s="14">
        <f>ROUND(Source!I124,6)</f>
        <v>-61.05</v>
      </c>
      <c r="F213" s="16">
        <f>IF(Source!AL124=0,Source!AK124,Source!AL124)</f>
        <v>131.9</v>
      </c>
      <c r="G213" s="32">
        <f>Source!DD124</f>
      </c>
      <c r="H213" s="41">
        <f>ROUND((Source!CR124/IF(Source!BB124&lt;&gt;0,Source!BB124,1)*Source!I124),2)+ROUND((Source!CQ124/IF(Source!BC124&lt;&gt;0,Source!BC124,1)*Source!I124),2)+ROUND((Source!CT124/IF(Source!BA124&lt;&gt;0,Source!BA124,1)*Source!I124),2)</f>
        <v>-8052.5</v>
      </c>
      <c r="I213" s="32" t="str">
        <f>IF(Source!BO124&lt;&gt;"",Source!BO124,"")</f>
        <v>407-0013</v>
      </c>
      <c r="J213" s="14">
        <f>Source!BC124</f>
        <v>4.33</v>
      </c>
      <c r="K213" s="16">
        <f>Source!O124</f>
        <v>-34867.3</v>
      </c>
      <c r="L213" s="14"/>
      <c r="N213">
        <f>ROUND((Source!CT124/IF(Source!BA124&lt;&gt;0,Source!BA124,1)*Source!I124),2)</f>
        <v>0</v>
      </c>
      <c r="O213">
        <f>IF(Source!BI124=1,(ROUND((Source!CR124/IF(Source!BB124&lt;&gt;0,Source!BB124,1)*Source!I124),2)+ROUND((Source!CQ124/IF(Source!BC124&lt;&gt;0,Source!BC124,1)*Source!I124),2)+ROUND((Source!CT124/IF(Source!BA124&lt;&gt;0,Source!BA124,1)*Source!I124),2)),0)</f>
        <v>-8052.5</v>
      </c>
      <c r="P213">
        <f>IF(Source!BI124=2,(ROUND((Source!CR124/IF(Source!BB124&lt;&gt;0,Source!BB124,1)*Source!I124),2)+ROUND((Source!CQ124/IF(Source!BC124&lt;&gt;0,Source!BC124,1)*Source!I124),2)+ROUND((Source!CT124/IF(Source!BA124&lt;&gt;0,Source!BA124,1)*Source!I124),2)),0)</f>
        <v>0</v>
      </c>
      <c r="Q213">
        <f>IF(Source!BI124=3,(ROUND((Source!CR124/IF(Source!BB124&lt;&gt;0,Source!BB124,1)*Source!I124),2)+ROUND((Source!CQ124/IF(Source!BC124&lt;&gt;0,Source!BC124,1)*Source!I124),2)+ROUND((Source!CT124/IF(Source!BA124&lt;&gt;0,Source!BA124,1)*Source!I124),2)),0)</f>
        <v>0</v>
      </c>
      <c r="R213">
        <f>IF(Source!BI124=4,(ROUND((Source!CR124/IF(Source!BB124&lt;&gt;0,Source!BB124,1)*Source!I124),2)+ROUND((Source!CQ124/IF(Source!BC124&lt;&gt;0,Source!BC124,1)*Source!I124),2)+ROUND((Source!CT124/IF(Source!BA124&lt;&gt;0,Source!BA124,1)*Source!I124),2)),0)</f>
        <v>0</v>
      </c>
      <c r="S213">
        <f>IF(Source!BI124=1,Source!O124+Source!X124+Source!Y124,0)</f>
        <v>-34867.3</v>
      </c>
      <c r="T213">
        <f>IF(Source!BI124=2,Source!O124+Source!X124+Source!Y124,0)</f>
        <v>0</v>
      </c>
      <c r="U213">
        <f>IF(Source!BI124=3,Source!O124+Source!X124+Source!Y124,0)</f>
        <v>0</v>
      </c>
      <c r="V213">
        <f>IF(Source!BI124=4,Source!O124+Source!X124+Source!Y124,0)</f>
        <v>0</v>
      </c>
      <c r="W213">
        <f>ROUND((Source!CS124/IF(Source!BS124&lt;&gt;0,Source!BS124,1)*Source!I124),2)</f>
        <v>0</v>
      </c>
      <c r="X213">
        <f>ROUND((Source!FX124/100)*(ROUND((Source!CT124/IF(Source!BA124&lt;&gt;0,Source!BA124,1)*Source!I124),2)+ROUND((Source!CS124/IF(Source!BS124&lt;&gt;0,Source!BS124,1)*Source!I124),2)),2)</f>
        <v>0</v>
      </c>
      <c r="Y213">
        <f>ROUND((Source!FY124/100)*(ROUND((Source!CT124/IF(Source!BA124&lt;&gt;0,Source!BA124,1)*Source!I124),2)+ROUND((Source!CS124/IF(Source!BS124&lt;&gt;0,Source!BS124,1)*Source!I124),2)),2)</f>
        <v>0</v>
      </c>
    </row>
    <row r="214" spans="1:25" ht="30">
      <c r="A214" s="29"/>
      <c r="B214" s="29" t="str">
        <f>Source!F125</f>
        <v>407-0013</v>
      </c>
      <c r="C214" s="30" t="str">
        <f>Source!G125</f>
        <v>Земля растительная механизированной заготовки</v>
      </c>
      <c r="D214" s="31" t="str">
        <f>Source!H125</f>
        <v>м3</v>
      </c>
      <c r="E214" s="14">
        <f>ROUND(Source!I125,6)</f>
        <v>20.35</v>
      </c>
      <c r="F214" s="16">
        <f>IF(Source!AL125=0,Source!AK125,Source!AL125)</f>
        <v>131.9</v>
      </c>
      <c r="G214" s="32">
        <f>Source!DD125</f>
      </c>
      <c r="H214" s="41">
        <f>ROUND((Source!CR125/IF(Source!BB125&lt;&gt;0,Source!BB125,1)*Source!I125),2)+ROUND((Source!CQ125/IF(Source!BC125&lt;&gt;0,Source!BC125,1)*Source!I125),2)+ROUND((Source!CT125/IF(Source!BA125&lt;&gt;0,Source!BA125,1)*Source!I125),2)</f>
        <v>2684.17</v>
      </c>
      <c r="I214" s="32" t="str">
        <f>IF(Source!BO125&lt;&gt;"",Source!BO125,"")</f>
        <v>407-0013</v>
      </c>
      <c r="J214" s="14">
        <f>Source!BC125</f>
        <v>4.33</v>
      </c>
      <c r="K214" s="16">
        <f>Source!O125</f>
        <v>11622.43</v>
      </c>
      <c r="L214" s="14"/>
      <c r="N214">
        <f>ROUND((Source!CT125/IF(Source!BA125&lt;&gt;0,Source!BA125,1)*Source!I125),2)</f>
        <v>0</v>
      </c>
      <c r="O214">
        <f>IF(Source!BI125=1,(ROUND((Source!CR125/IF(Source!BB125&lt;&gt;0,Source!BB125,1)*Source!I125),2)+ROUND((Source!CQ125/IF(Source!BC125&lt;&gt;0,Source!BC125,1)*Source!I125),2)+ROUND((Source!CT125/IF(Source!BA125&lt;&gt;0,Source!BA125,1)*Source!I125),2)),0)</f>
        <v>2684.17</v>
      </c>
      <c r="P214">
        <f>IF(Source!BI125=2,(ROUND((Source!CR125/IF(Source!BB125&lt;&gt;0,Source!BB125,1)*Source!I125),2)+ROUND((Source!CQ125/IF(Source!BC125&lt;&gt;0,Source!BC125,1)*Source!I125),2)+ROUND((Source!CT125/IF(Source!BA125&lt;&gt;0,Source!BA125,1)*Source!I125),2)),0)</f>
        <v>0</v>
      </c>
      <c r="Q214">
        <f>IF(Source!BI125=3,(ROUND((Source!CR125/IF(Source!BB125&lt;&gt;0,Source!BB125,1)*Source!I125),2)+ROUND((Source!CQ125/IF(Source!BC125&lt;&gt;0,Source!BC125,1)*Source!I125),2)+ROUND((Source!CT125/IF(Source!BA125&lt;&gt;0,Source!BA125,1)*Source!I125),2)),0)</f>
        <v>0</v>
      </c>
      <c r="R214">
        <f>IF(Source!BI125=4,(ROUND((Source!CR125/IF(Source!BB125&lt;&gt;0,Source!BB125,1)*Source!I125),2)+ROUND((Source!CQ125/IF(Source!BC125&lt;&gt;0,Source!BC125,1)*Source!I125),2)+ROUND((Source!CT125/IF(Source!BA125&lt;&gt;0,Source!BA125,1)*Source!I125),2)),0)</f>
        <v>0</v>
      </c>
      <c r="S214">
        <f>IF(Source!BI125=1,Source!O125+Source!X125+Source!Y125,0)</f>
        <v>11622.43</v>
      </c>
      <c r="T214">
        <f>IF(Source!BI125=2,Source!O125+Source!X125+Source!Y125,0)</f>
        <v>0</v>
      </c>
      <c r="U214">
        <f>IF(Source!BI125=3,Source!O125+Source!X125+Source!Y125,0)</f>
        <v>0</v>
      </c>
      <c r="V214">
        <f>IF(Source!BI125=4,Source!O125+Source!X125+Source!Y125,0)</f>
        <v>0</v>
      </c>
      <c r="W214">
        <f>ROUND((Source!CS125/IF(Source!BS125&lt;&gt;0,Source!BS125,1)*Source!I125),2)</f>
        <v>0</v>
      </c>
      <c r="X214">
        <f>ROUND((Source!FX125/100)*(ROUND((Source!CT125/IF(Source!BA125&lt;&gt;0,Source!BA125,1)*Source!I125),2)+ROUND((Source!CS125/IF(Source!BS125&lt;&gt;0,Source!BS125,1)*Source!I125),2)),2)</f>
        <v>0</v>
      </c>
      <c r="Y214">
        <f>ROUND((Source!FY125/100)*(ROUND((Source!CT125/IF(Source!BA125&lt;&gt;0,Source!BA125,1)*Source!I125),2)+ROUND((Source!CS125/IF(Source!BS125&lt;&gt;0,Source!BS125,1)*Source!I125),2)),2)</f>
        <v>0</v>
      </c>
    </row>
    <row r="215" spans="1:25" ht="30">
      <c r="A215" s="42"/>
      <c r="B215" s="42" t="str">
        <f>Source!F126</f>
        <v>408-0122</v>
      </c>
      <c r="C215" s="43" t="str">
        <f>Source!G126</f>
        <v>Песок природный для строительных работ средний</v>
      </c>
      <c r="D215" s="44" t="str">
        <f>Source!H126</f>
        <v>м3</v>
      </c>
      <c r="E215" s="34">
        <f>ROUND(Source!I126,6)</f>
        <v>20.35</v>
      </c>
      <c r="F215" s="37">
        <f>IF(Source!AL126=0,Source!AK126,Source!AL126)</f>
        <v>55.26</v>
      </c>
      <c r="G215" s="36">
        <f>Source!DD126</f>
      </c>
      <c r="H215" s="45">
        <f>ROUND((Source!CR126/IF(Source!BB126&lt;&gt;0,Source!BB126,1)*Source!I126),2)+ROUND((Source!CQ126/IF(Source!BC126&lt;&gt;0,Source!BC126,1)*Source!I126),2)+ROUND((Source!CT126/IF(Source!BA126&lt;&gt;0,Source!BA126,1)*Source!I126),2)</f>
        <v>1124.54</v>
      </c>
      <c r="I215" s="36" t="str">
        <f>IF(Source!BO126&lt;&gt;"",Source!BO126,"")</f>
        <v>408-0122</v>
      </c>
      <c r="J215" s="34">
        <f>Source!BC126</f>
        <v>9.25</v>
      </c>
      <c r="K215" s="37">
        <f>Source!O126</f>
        <v>10402</v>
      </c>
      <c r="L215" s="34"/>
      <c r="N215">
        <f>ROUND((Source!CT126/IF(Source!BA126&lt;&gt;0,Source!BA126,1)*Source!I126),2)</f>
        <v>0</v>
      </c>
      <c r="O215">
        <f>IF(Source!BI126=1,(ROUND((Source!CR126/IF(Source!BB126&lt;&gt;0,Source!BB126,1)*Source!I126),2)+ROUND((Source!CQ126/IF(Source!BC126&lt;&gt;0,Source!BC126,1)*Source!I126),2)+ROUND((Source!CT126/IF(Source!BA126&lt;&gt;0,Source!BA126,1)*Source!I126),2)),0)</f>
        <v>1124.54</v>
      </c>
      <c r="P215">
        <f>IF(Source!BI126=2,(ROUND((Source!CR126/IF(Source!BB126&lt;&gt;0,Source!BB126,1)*Source!I126),2)+ROUND((Source!CQ126/IF(Source!BC126&lt;&gt;0,Source!BC126,1)*Source!I126),2)+ROUND((Source!CT126/IF(Source!BA126&lt;&gt;0,Source!BA126,1)*Source!I126),2)),0)</f>
        <v>0</v>
      </c>
      <c r="Q215">
        <f>IF(Source!BI126=3,(ROUND((Source!CR126/IF(Source!BB126&lt;&gt;0,Source!BB126,1)*Source!I126),2)+ROUND((Source!CQ126/IF(Source!BC126&lt;&gt;0,Source!BC126,1)*Source!I126),2)+ROUND((Source!CT126/IF(Source!BA126&lt;&gt;0,Source!BA126,1)*Source!I126),2)),0)</f>
        <v>0</v>
      </c>
      <c r="R215">
        <f>IF(Source!BI126=4,(ROUND((Source!CR126/IF(Source!BB126&lt;&gt;0,Source!BB126,1)*Source!I126),2)+ROUND((Source!CQ126/IF(Source!BC126&lt;&gt;0,Source!BC126,1)*Source!I126),2)+ROUND((Source!CT126/IF(Source!BA126&lt;&gt;0,Source!BA126,1)*Source!I126),2)),0)</f>
        <v>0</v>
      </c>
      <c r="S215">
        <f>IF(Source!BI126=1,Source!O126+Source!X126+Source!Y126,0)</f>
        <v>10402</v>
      </c>
      <c r="T215">
        <f>IF(Source!BI126=2,Source!O126+Source!X126+Source!Y126,0)</f>
        <v>0</v>
      </c>
      <c r="U215">
        <f>IF(Source!BI126=3,Source!O126+Source!X126+Source!Y126,0)</f>
        <v>0</v>
      </c>
      <c r="V215">
        <f>IF(Source!BI126=4,Source!O126+Source!X126+Source!Y126,0)</f>
        <v>0</v>
      </c>
      <c r="W215">
        <f>ROUND((Source!CS126/IF(Source!BS126&lt;&gt;0,Source!BS126,1)*Source!I126),2)</f>
        <v>0</v>
      </c>
      <c r="X215">
        <f>ROUND((Source!FX126/100)*(ROUND((Source!CT126/IF(Source!BA126&lt;&gt;0,Source!BA126,1)*Source!I126),2)+ROUND((Source!CS126/IF(Source!BS126&lt;&gt;0,Source!BS126,1)*Source!I126),2)),2)</f>
        <v>0</v>
      </c>
      <c r="Y215">
        <f>ROUND((Source!FY126/100)*(ROUND((Source!CT126/IF(Source!BA126&lt;&gt;0,Source!BA126,1)*Source!I126),2)+ROUND((Source!CS126/IF(Source!BS126&lt;&gt;0,Source!BS126,1)*Source!I126),2)),2)</f>
        <v>0</v>
      </c>
    </row>
    <row r="216" spans="1:23" ht="15.75">
      <c r="A216" s="14"/>
      <c r="B216" s="14"/>
      <c r="C216" s="14"/>
      <c r="D216" s="14"/>
      <c r="E216" s="14"/>
      <c r="F216" s="14"/>
      <c r="G216" s="14"/>
      <c r="H216" s="38">
        <f>ROUND((Source!CT123/IF(Source!BA123&lt;&gt;0,Source!BA123,1)*Source!I123),2)+ROUND((Source!CR123/IF(Source!BB123&lt;&gt;0,Source!BB123,1)*Source!I123),2)+H209+H210+H211+H213+H214+H215</f>
        <v>7301.05</v>
      </c>
      <c r="I216" s="39"/>
      <c r="J216" s="39"/>
      <c r="K216" s="38">
        <f>Source!S123+Source!Q123+K209+K210+K211+K213+K214+K215</f>
        <v>76909.25</v>
      </c>
      <c r="L216" s="38">
        <f>Source!U123</f>
        <v>142.7756</v>
      </c>
      <c r="M216" s="33">
        <f>H216</f>
        <v>7301.05</v>
      </c>
      <c r="N216">
        <f>ROUND((Source!CT123/IF(Source!BA123&lt;&gt;0,Source!BA123,1)*Source!I123),2)</f>
        <v>1133.66</v>
      </c>
      <c r="O216">
        <f>IF(Source!BI123=1,((((Source!CT123/IF(Source!BA123&lt;&gt;0,Source!BA123,1)*Source!I123)+(Source!CR123/IF(Source!BB123&lt;&gt;0,Source!BB123,1)*Source!I123)+(Source!CQ123/IF(Source!BC123&lt;&gt;0,Source!BC123,1)*Source!I123))+((Source!FX123/100)*((Source!CT123/IF(Source!BA123&lt;&gt;0,Source!BA123,1)*Source!I123)+(Source!CS123/IF(Source!BS123&lt;&gt;0,Source!BS123,1)*Source!I123)))+((Source!FY123/100)*((Source!CT123/IF(Source!BA123&lt;&gt;0,Source!BA123,1)*Source!I123)+(Source!CS123/IF(Source!BS123&lt;&gt;0,Source!BS123,1)*Source!I123))))),0)</f>
        <v>11544.817515000002</v>
      </c>
      <c r="P216">
        <f>IF(Source!BI123=2,((((Source!CT123/IF(Source!BA123&lt;&gt;0,Source!BA123,1)*Source!I123)+(Source!CR123/IF(Source!BB123&lt;&gt;0,Source!BB123,1)*Source!I123)+(Source!CQ123/IF(Source!BC123&lt;&gt;0,Source!BC123,1)*Source!I123))+((Source!FX123/100)*((Source!CT123/IF(Source!BA123&lt;&gt;0,Source!BA123,1)*Source!I123)+(Source!CS123/IF(Source!BS123&lt;&gt;0,Source!BS123,1)*Source!I123)))+((Source!FY123/100)*((Source!CT123/IF(Source!BA123&lt;&gt;0,Source!BA123,1)*Source!I123)+(Source!CS123/IF(Source!BS123&lt;&gt;0,Source!BS123,1)*Source!I123))))),0)</f>
        <v>0</v>
      </c>
      <c r="Q216">
        <f>IF(Source!BI123=3,((((Source!CT123/IF(Source!BA123&lt;&gt;0,Source!BA123,1)*Source!I123)+(Source!CR123/IF(Source!BB123&lt;&gt;0,Source!BB123,1)*Source!I123)+(Source!CQ123/IF(Source!BC123&lt;&gt;0,Source!BC123,1)*Source!I123))+((Source!FX123/100)*((Source!CT123/IF(Source!BA123&lt;&gt;0,Source!BA123,1)*Source!I123)+(Source!CS123/IF(Source!BS123&lt;&gt;0,Source!BS123,1)*Source!I123)))+((Source!FY123/100)*((Source!CT123/IF(Source!BA123&lt;&gt;0,Source!BA123,1)*Source!I123)+(Source!CS123/IF(Source!BS123&lt;&gt;0,Source!BS123,1)*Source!I123))))),0)</f>
        <v>0</v>
      </c>
      <c r="R216">
        <f>IF(Source!BI123=4,((((Source!CT123/IF(Source!BA123&lt;&gt;0,Source!BA123,1)*Source!I123)+(Source!CR123/IF(Source!BB123&lt;&gt;0,Source!BB123,1)*Source!I123)+(Source!CQ123/IF(Source!BC123&lt;&gt;0,Source!BC123,1)*Source!I123))+((Source!FX123/100)*((Source!CT123/IF(Source!BA123&lt;&gt;0,Source!BA123,1)*Source!I123)+(Source!CS123/IF(Source!BS123&lt;&gt;0,Source!BS123,1)*Source!I123)))+((Source!FY123/100)*((Source!CT123/IF(Source!BA123&lt;&gt;0,Source!BA123,1)*Source!I123)+(Source!CS123/IF(Source!BS123&lt;&gt;0,Source!BS123,1)*Source!I123))))),0)</f>
        <v>0</v>
      </c>
      <c r="S216">
        <f>IF(Source!BI123=1,Source!O123+Source!X123+Source!Y123,0)</f>
        <v>89752.12</v>
      </c>
      <c r="T216">
        <f>IF(Source!BI123=2,Source!O123+Source!X123+Source!Y123,0)</f>
        <v>0</v>
      </c>
      <c r="U216">
        <f>IF(Source!BI123=3,Source!O123+Source!X123+Source!Y123,0)</f>
        <v>0</v>
      </c>
      <c r="V216">
        <f>IF(Source!BI123=4,Source!O123+Source!X123+Source!Y123,0)</f>
        <v>0</v>
      </c>
      <c r="W216">
        <f>ROUND((Source!CS123/IF(Source!BS123&lt;&gt;0,Source!BS123,1)*Source!I123),2)</f>
        <v>3.87</v>
      </c>
    </row>
    <row r="217" spans="1:12" ht="30">
      <c r="A217" s="29" t="str">
        <f>Source!E127</f>
        <v>25</v>
      </c>
      <c r="B217" s="29" t="str">
        <f>Source!F127</f>
        <v>07-01-055-11</v>
      </c>
      <c r="C217" s="30" t="str">
        <f>Source!G127</f>
        <v>Прим. Установка металлических столбов</v>
      </c>
      <c r="D217" s="31" t="str">
        <f>Source!H127</f>
        <v>100 шт.</v>
      </c>
      <c r="E217" s="14">
        <f>ROUND(Source!I127,6)</f>
        <v>0.12</v>
      </c>
      <c r="F217" s="16">
        <f>IF(Source!AK127&lt;&gt;0,Source!AK127,Source!AL127+Source!AM127+Source!AO127)</f>
        <v>17168.37</v>
      </c>
      <c r="G217" s="14"/>
      <c r="H217" s="14"/>
      <c r="I217" s="32" t="str">
        <f>IF(Source!BO127&lt;&gt;"",Source!BO127,"")</f>
        <v>07-01-055-11</v>
      </c>
      <c r="J217" s="14"/>
      <c r="K217" s="14"/>
      <c r="L217" s="14"/>
    </row>
    <row r="218" spans="1:12" ht="15">
      <c r="A218" s="14"/>
      <c r="B218" s="14"/>
      <c r="C218" s="14" t="s">
        <v>429</v>
      </c>
      <c r="D218" s="14"/>
      <c r="E218" s="14"/>
      <c r="F218" s="16">
        <f>Source!AO127</f>
        <v>3952.45</v>
      </c>
      <c r="G218" s="32">
        <f>Source!DG127</f>
      </c>
      <c r="H218" s="16">
        <f>ROUND((Source!CT127/IF(Source!BA127&lt;&gt;0,Source!BA127,1)*Source!I127),2)</f>
        <v>474.29</v>
      </c>
      <c r="I218" s="14"/>
      <c r="J218" s="14">
        <f>Source!BA127</f>
        <v>17.84</v>
      </c>
      <c r="K218" s="16">
        <f>Source!S127</f>
        <v>8461.4</v>
      </c>
      <c r="L218" s="14"/>
    </row>
    <row r="219" spans="1:12" ht="15">
      <c r="A219" s="14"/>
      <c r="B219" s="14"/>
      <c r="C219" s="14" t="s">
        <v>107</v>
      </c>
      <c r="D219" s="14"/>
      <c r="E219" s="14"/>
      <c r="F219" s="16">
        <f>Source!AM127</f>
        <v>12098.19</v>
      </c>
      <c r="G219" s="32">
        <f>Source!DE127</f>
      </c>
      <c r="H219" s="16">
        <f>ROUND((Source!CR127/IF(Source!BB127&lt;&gt;0,Source!BB127,1)*Source!I127),2)</f>
        <v>1451.78</v>
      </c>
      <c r="I219" s="14"/>
      <c r="J219" s="14">
        <f>Source!BB127</f>
        <v>7.2</v>
      </c>
      <c r="K219" s="16">
        <f>Source!Q127</f>
        <v>10452.84</v>
      </c>
      <c r="L219" s="14"/>
    </row>
    <row r="220" spans="1:12" ht="15">
      <c r="A220" s="14"/>
      <c r="B220" s="14"/>
      <c r="C220" s="14" t="s">
        <v>434</v>
      </c>
      <c r="D220" s="14"/>
      <c r="E220" s="14"/>
      <c r="F220" s="16">
        <f>Source!AN127</f>
        <v>1380.16</v>
      </c>
      <c r="G220" s="32">
        <f>Source!DF127</f>
      </c>
      <c r="H220" s="40">
        <f>ROUND((Source!CS127/IF(Source!BS127&lt;&gt;0,Source!BS127,1)*Source!I127),2)</f>
        <v>165.62</v>
      </c>
      <c r="I220" s="14"/>
      <c r="J220" s="14">
        <f>Source!BS127</f>
        <v>17.84</v>
      </c>
      <c r="K220" s="40">
        <f>Source!R127</f>
        <v>2954.65</v>
      </c>
      <c r="L220" s="14"/>
    </row>
    <row r="221" spans="1:12" ht="15">
      <c r="A221" s="14"/>
      <c r="B221" s="14"/>
      <c r="C221" s="14" t="s">
        <v>435</v>
      </c>
      <c r="D221" s="14"/>
      <c r="E221" s="14"/>
      <c r="F221" s="16">
        <f>Source!AL127</f>
        <v>1117.73</v>
      </c>
      <c r="G221" s="32">
        <f>Source!DD127</f>
      </c>
      <c r="H221" s="16">
        <f>ROUND((Source!CQ127/IF(Source!BC127&lt;&gt;0,Source!BC127,1)*Source!I127),2)</f>
        <v>134.13</v>
      </c>
      <c r="I221" s="14"/>
      <c r="J221" s="14">
        <f>Source!BC127</f>
        <v>8.98</v>
      </c>
      <c r="K221" s="16">
        <f>Source!P127</f>
        <v>1204.47</v>
      </c>
      <c r="L221" s="14"/>
    </row>
    <row r="222" spans="1:24" ht="15">
      <c r="A222" s="14"/>
      <c r="B222" s="14"/>
      <c r="C222" s="14" t="s">
        <v>430</v>
      </c>
      <c r="D222" s="17" t="s">
        <v>431</v>
      </c>
      <c r="E222" s="14"/>
      <c r="F222" s="16">
        <f>Source!BZ127</f>
        <v>130</v>
      </c>
      <c r="G222" s="14"/>
      <c r="H222" s="16">
        <f>X222+X225</f>
        <v>831.88</v>
      </c>
      <c r="I222" s="14" t="str">
        <f>Source!FV127</f>
        <v>((*0.85))</v>
      </c>
      <c r="J222" s="16">
        <f>Source!AT127</f>
        <v>111</v>
      </c>
      <c r="K222" s="16">
        <f>Source!X127+Source!X128</f>
        <v>12671.82</v>
      </c>
      <c r="L222" s="14"/>
      <c r="X222">
        <f>ROUND((Source!FX127/100)*(ROUND((Source!CT127/IF(Source!BA127&lt;&gt;0,Source!BA127,1)*Source!I127),2)+ROUND((Source!CS127/IF(Source!BS127&lt;&gt;0,Source!BS127,1)*Source!I127),2)),2)</f>
        <v>831.88</v>
      </c>
    </row>
    <row r="223" spans="1:25" ht="15">
      <c r="A223" s="14"/>
      <c r="B223" s="14"/>
      <c r="C223" s="14" t="s">
        <v>123</v>
      </c>
      <c r="D223" s="17" t="s">
        <v>431</v>
      </c>
      <c r="E223" s="14"/>
      <c r="F223" s="16">
        <f>Source!CA127</f>
        <v>85</v>
      </c>
      <c r="G223" s="14"/>
      <c r="H223" s="16">
        <f>Y223+Y225</f>
        <v>543.92</v>
      </c>
      <c r="I223" s="14" t="str">
        <f>Source!FW127</f>
        <v>((*0.8))</v>
      </c>
      <c r="J223" s="16">
        <f>Source!AU127</f>
        <v>68</v>
      </c>
      <c r="K223" s="16">
        <f>Source!Y127+Source!Y128</f>
        <v>7762.91</v>
      </c>
      <c r="L223" s="14"/>
      <c r="Y223">
        <f>ROUND((Source!FY127/100)*(ROUND((Source!CT127/IF(Source!BA127&lt;&gt;0,Source!BA127,1)*Source!I127),2)+ROUND((Source!CS127/IF(Source!BS127&lt;&gt;0,Source!BS127,1)*Source!I127),2)),2)</f>
        <v>543.92</v>
      </c>
    </row>
    <row r="224" spans="1:12" ht="15">
      <c r="A224" s="14"/>
      <c r="B224" s="14"/>
      <c r="C224" s="14" t="s">
        <v>432</v>
      </c>
      <c r="D224" s="17" t="s">
        <v>433</v>
      </c>
      <c r="E224" s="14">
        <f>Source!AQ127</f>
        <v>430.55</v>
      </c>
      <c r="F224" s="14"/>
      <c r="G224" s="32">
        <f>Source!DI127</f>
      </c>
      <c r="H224" s="14"/>
      <c r="I224" s="14"/>
      <c r="J224" s="14"/>
      <c r="K224" s="14"/>
      <c r="L224" s="16">
        <f>Source!U127</f>
        <v>51.666</v>
      </c>
    </row>
    <row r="225" spans="1:25" ht="105">
      <c r="A225" s="42"/>
      <c r="B225" s="42" t="str">
        <f>Source!F128</f>
        <v>103-0160</v>
      </c>
      <c r="C225" s="43" t="str">
        <f>Source!G128</f>
        <v>Трубы стальные электросварные прямошовные со снятой фаской из стали марок БСт2кп-БСт4кп и БСт2пс-БСт4пс наружный диаметр 108 мм, толщина стенки 3,5 мм</v>
      </c>
      <c r="D225" s="44" t="str">
        <f>Source!H128</f>
        <v>м</v>
      </c>
      <c r="E225" s="34">
        <f>ROUND(Source!I128,6)</f>
        <v>18</v>
      </c>
      <c r="F225" s="37">
        <f>IF(Source!AL128=0,Source!AK128,Source!AL128)</f>
        <v>67.66</v>
      </c>
      <c r="G225" s="36">
        <f>Source!DD128</f>
      </c>
      <c r="H225" s="45">
        <f>ROUND((Source!CR128/IF(Source!BB128&lt;&gt;0,Source!BB128,1)*Source!I128),2)+ROUND((Source!CQ128/IF(Source!BC128&lt;&gt;0,Source!BC128,1)*Source!I128),2)+ROUND((Source!CT128/IF(Source!BA128&lt;&gt;0,Source!BA128,1)*Source!I128),2)</f>
        <v>1217.88</v>
      </c>
      <c r="I225" s="36" t="str">
        <f>IF(Source!BO128&lt;&gt;"",Source!BO128,"")</f>
        <v>103-0160</v>
      </c>
      <c r="J225" s="34">
        <f>Source!BC128</f>
        <v>3.45</v>
      </c>
      <c r="K225" s="37">
        <f>Source!O128</f>
        <v>4201.69</v>
      </c>
      <c r="L225" s="34"/>
      <c r="N225">
        <f>ROUND((Source!CT128/IF(Source!BA128&lt;&gt;0,Source!BA128,1)*Source!I128),2)</f>
        <v>0</v>
      </c>
      <c r="O225">
        <f>IF(Source!BI128=1,(ROUND((Source!CR128/IF(Source!BB128&lt;&gt;0,Source!BB128,1)*Source!I128),2)+ROUND((Source!CQ128/IF(Source!BC128&lt;&gt;0,Source!BC128,1)*Source!I128),2)+ROUND((Source!CT128/IF(Source!BA128&lt;&gt;0,Source!BA128,1)*Source!I128),2)),0)</f>
        <v>1217.88</v>
      </c>
      <c r="P225">
        <f>IF(Source!BI128=2,(ROUND((Source!CR128/IF(Source!BB128&lt;&gt;0,Source!BB128,1)*Source!I128),2)+ROUND((Source!CQ128/IF(Source!BC128&lt;&gt;0,Source!BC128,1)*Source!I128),2)+ROUND((Source!CT128/IF(Source!BA128&lt;&gt;0,Source!BA128,1)*Source!I128),2)),0)</f>
        <v>0</v>
      </c>
      <c r="Q225">
        <f>IF(Source!BI128=3,(ROUND((Source!CR128/IF(Source!BB128&lt;&gt;0,Source!BB128,1)*Source!I128),2)+ROUND((Source!CQ128/IF(Source!BC128&lt;&gt;0,Source!BC128,1)*Source!I128),2)+ROUND((Source!CT128/IF(Source!BA128&lt;&gt;0,Source!BA128,1)*Source!I128),2)),0)</f>
        <v>0</v>
      </c>
      <c r="R225">
        <f>IF(Source!BI128=4,(ROUND((Source!CR128/IF(Source!BB128&lt;&gt;0,Source!BB128,1)*Source!I128),2)+ROUND((Source!CQ128/IF(Source!BC128&lt;&gt;0,Source!BC128,1)*Source!I128),2)+ROUND((Source!CT128/IF(Source!BA128&lt;&gt;0,Source!BA128,1)*Source!I128),2)),0)</f>
        <v>0</v>
      </c>
      <c r="S225">
        <f>IF(Source!BI128=1,Source!O128+Source!X128+Source!Y128,0)</f>
        <v>4201.69</v>
      </c>
      <c r="T225">
        <f>IF(Source!BI128=2,Source!O128+Source!X128+Source!Y128,0)</f>
        <v>0</v>
      </c>
      <c r="U225">
        <f>IF(Source!BI128=3,Source!O128+Source!X128+Source!Y128,0)</f>
        <v>0</v>
      </c>
      <c r="V225">
        <f>IF(Source!BI128=4,Source!O128+Source!X128+Source!Y128,0)</f>
        <v>0</v>
      </c>
      <c r="W225">
        <f>ROUND((Source!CS128/IF(Source!BS128&lt;&gt;0,Source!BS128,1)*Source!I128),2)</f>
        <v>0</v>
      </c>
      <c r="X225">
        <f>ROUND((Source!FX128/100)*(ROUND((Source!CT128/IF(Source!BA128&lt;&gt;0,Source!BA128,1)*Source!I128),2)+ROUND((Source!CS128/IF(Source!BS128&lt;&gt;0,Source!BS128,1)*Source!I128),2)),2)</f>
        <v>0</v>
      </c>
      <c r="Y225">
        <f>ROUND((Source!FY128/100)*(ROUND((Source!CT128/IF(Source!BA128&lt;&gt;0,Source!BA128,1)*Source!I128),2)+ROUND((Source!CS128/IF(Source!BS128&lt;&gt;0,Source!BS128,1)*Source!I128),2)),2)</f>
        <v>0</v>
      </c>
    </row>
    <row r="226" spans="1:23" ht="15.75">
      <c r="A226" s="14"/>
      <c r="B226" s="14"/>
      <c r="C226" s="14"/>
      <c r="D226" s="14"/>
      <c r="E226" s="14"/>
      <c r="F226" s="14"/>
      <c r="G226" s="14"/>
      <c r="H226" s="38">
        <f>ROUND((Source!CT127/IF(Source!BA127&lt;&gt;0,Source!BA127,1)*Source!I127),2)+ROUND((Source!CR127/IF(Source!BB127&lt;&gt;0,Source!BB127,1)*Source!I127),2)+H221+H222+H223+H225</f>
        <v>4653.88</v>
      </c>
      <c r="I226" s="39"/>
      <c r="J226" s="39"/>
      <c r="K226" s="38">
        <f>Source!S127+Source!Q127+K221+K222+K223+K225</f>
        <v>44755.130000000005</v>
      </c>
      <c r="L226" s="38">
        <f>Source!U127</f>
        <v>51.666</v>
      </c>
      <c r="M226" s="33">
        <f>H226</f>
        <v>4653.88</v>
      </c>
      <c r="N226">
        <f>ROUND((Source!CT127/IF(Source!BA127&lt;&gt;0,Source!BA127,1)*Source!I127),2)</f>
        <v>474.29</v>
      </c>
      <c r="O226">
        <f>IF(Source!BI127=1,((((Source!CT127/IF(Source!BA127&lt;&gt;0,Source!BA127,1)*Source!I127)+(Source!CR127/IF(Source!BB127&lt;&gt;0,Source!BB127,1)*Source!I127)+(Source!CQ127/IF(Source!BC127&lt;&gt;0,Source!BC127,1)*Source!I127))+((Source!FX127/100)*((Source!CT127/IF(Source!BA127&lt;&gt;0,Source!BA127,1)*Source!I127)+(Source!CS127/IF(Source!BS127&lt;&gt;0,Source!BS127,1)*Source!I127)))+((Source!FY127/100)*((Source!CT127/IF(Source!BA127&lt;&gt;0,Source!BA127,1)*Source!I127)+(Source!CS127/IF(Source!BS127&lt;&gt;0,Source!BS127,1)*Source!I127))))),0)</f>
        <v>3436.0177799999997</v>
      </c>
      <c r="P226">
        <f>IF(Source!BI127=2,((((Source!CT127/IF(Source!BA127&lt;&gt;0,Source!BA127,1)*Source!I127)+(Source!CR127/IF(Source!BB127&lt;&gt;0,Source!BB127,1)*Source!I127)+(Source!CQ127/IF(Source!BC127&lt;&gt;0,Source!BC127,1)*Source!I127))+((Source!FX127/100)*((Source!CT127/IF(Source!BA127&lt;&gt;0,Source!BA127,1)*Source!I127)+(Source!CS127/IF(Source!BS127&lt;&gt;0,Source!BS127,1)*Source!I127)))+((Source!FY127/100)*((Source!CT127/IF(Source!BA127&lt;&gt;0,Source!BA127,1)*Source!I127)+(Source!CS127/IF(Source!BS127&lt;&gt;0,Source!BS127,1)*Source!I127))))),0)</f>
        <v>0</v>
      </c>
      <c r="Q226">
        <f>IF(Source!BI127=3,((((Source!CT127/IF(Source!BA127&lt;&gt;0,Source!BA127,1)*Source!I127)+(Source!CR127/IF(Source!BB127&lt;&gt;0,Source!BB127,1)*Source!I127)+(Source!CQ127/IF(Source!BC127&lt;&gt;0,Source!BC127,1)*Source!I127))+((Source!FX127/100)*((Source!CT127/IF(Source!BA127&lt;&gt;0,Source!BA127,1)*Source!I127)+(Source!CS127/IF(Source!BS127&lt;&gt;0,Source!BS127,1)*Source!I127)))+((Source!FY127/100)*((Source!CT127/IF(Source!BA127&lt;&gt;0,Source!BA127,1)*Source!I127)+(Source!CS127/IF(Source!BS127&lt;&gt;0,Source!BS127,1)*Source!I127))))),0)</f>
        <v>0</v>
      </c>
      <c r="R226">
        <f>IF(Source!BI127=4,((((Source!CT127/IF(Source!BA127&lt;&gt;0,Source!BA127,1)*Source!I127)+(Source!CR127/IF(Source!BB127&lt;&gt;0,Source!BB127,1)*Source!I127)+(Source!CQ127/IF(Source!BC127&lt;&gt;0,Source!BC127,1)*Source!I127))+((Source!FX127/100)*((Source!CT127/IF(Source!BA127&lt;&gt;0,Source!BA127,1)*Source!I127)+(Source!CS127/IF(Source!BS127&lt;&gt;0,Source!BS127,1)*Source!I127)))+((Source!FY127/100)*((Source!CT127/IF(Source!BA127&lt;&gt;0,Source!BA127,1)*Source!I127)+(Source!CS127/IF(Source!BS127&lt;&gt;0,Source!BS127,1)*Source!I127))))),0)</f>
        <v>0</v>
      </c>
      <c r="S226">
        <f>IF(Source!BI127=1,Source!O127+Source!X127+Source!Y127,0)</f>
        <v>40553.44</v>
      </c>
      <c r="T226">
        <f>IF(Source!BI127=2,Source!O127+Source!X127+Source!Y127,0)</f>
        <v>0</v>
      </c>
      <c r="U226">
        <f>IF(Source!BI127=3,Source!O127+Source!X127+Source!Y127,0)</f>
        <v>0</v>
      </c>
      <c r="V226">
        <f>IF(Source!BI127=4,Source!O127+Source!X127+Source!Y127,0)</f>
        <v>0</v>
      </c>
      <c r="W226">
        <f>ROUND((Source!CS127/IF(Source!BS127&lt;&gt;0,Source!BS127,1)*Source!I127),2)</f>
        <v>165.62</v>
      </c>
    </row>
    <row r="227" spans="1:12" ht="30">
      <c r="A227" s="29" t="str">
        <f>Source!E129</f>
        <v>26</v>
      </c>
      <c r="B227" s="29" t="str">
        <f>Source!F129</f>
        <v>09-03-014-1</v>
      </c>
      <c r="C227" s="30" t="str">
        <f>Source!G129</f>
        <v>Монтаж связей из трубы</v>
      </c>
      <c r="D227" s="31" t="str">
        <f>Source!H129</f>
        <v>т</v>
      </c>
      <c r="E227" s="14">
        <f>ROUND(Source!I129,6)</f>
        <v>0.164</v>
      </c>
      <c r="F227" s="16">
        <f>IF(Source!AK129&lt;&gt;0,Source!AK129,Source!AL129+Source!AM129+Source!AO129)</f>
        <v>1262.73</v>
      </c>
      <c r="G227" s="14"/>
      <c r="H227" s="14"/>
      <c r="I227" s="32" t="str">
        <f>IF(Source!BO129&lt;&gt;"",Source!BO129,"")</f>
        <v>09-03-014-1</v>
      </c>
      <c r="J227" s="14"/>
      <c r="K227" s="14"/>
      <c r="L227" s="14"/>
    </row>
    <row r="228" spans="1:12" ht="15">
      <c r="A228" s="14"/>
      <c r="B228" s="14"/>
      <c r="C228" s="14" t="s">
        <v>429</v>
      </c>
      <c r="D228" s="14"/>
      <c r="E228" s="14"/>
      <c r="F228" s="16">
        <f>Source!AO129</f>
        <v>553.07</v>
      </c>
      <c r="G228" s="32">
        <f>Source!DG129</f>
      </c>
      <c r="H228" s="16">
        <f>ROUND((Source!CT129/IF(Source!BA129&lt;&gt;0,Source!BA129,1)*Source!I129),2)</f>
        <v>90.7</v>
      </c>
      <c r="I228" s="14"/>
      <c r="J228" s="14">
        <f>Source!BA129</f>
        <v>17.84</v>
      </c>
      <c r="K228" s="16">
        <f>Source!S129</f>
        <v>1618.15</v>
      </c>
      <c r="L228" s="14"/>
    </row>
    <row r="229" spans="1:12" ht="15">
      <c r="A229" s="14"/>
      <c r="B229" s="14"/>
      <c r="C229" s="14" t="s">
        <v>107</v>
      </c>
      <c r="D229" s="14"/>
      <c r="E229" s="14"/>
      <c r="F229" s="16">
        <f>Source!AM129</f>
        <v>477.15</v>
      </c>
      <c r="G229" s="32">
        <f>Source!DE129</f>
      </c>
      <c r="H229" s="16">
        <f>ROUND((Source!CR129/IF(Source!BB129&lt;&gt;0,Source!BB129,1)*Source!I129),2)</f>
        <v>78.25</v>
      </c>
      <c r="I229" s="14"/>
      <c r="J229" s="14">
        <f>Source!BB129</f>
        <v>7.33</v>
      </c>
      <c r="K229" s="16">
        <f>Source!Q129</f>
        <v>573.59</v>
      </c>
      <c r="L229" s="14"/>
    </row>
    <row r="230" spans="1:12" ht="15">
      <c r="A230" s="14"/>
      <c r="B230" s="14"/>
      <c r="C230" s="14" t="s">
        <v>434</v>
      </c>
      <c r="D230" s="14"/>
      <c r="E230" s="14"/>
      <c r="F230" s="16">
        <f>Source!AN129</f>
        <v>51.76</v>
      </c>
      <c r="G230" s="32">
        <f>Source!DF129</f>
      </c>
      <c r="H230" s="40">
        <f>ROUND((Source!CS129/IF(Source!BS129&lt;&gt;0,Source!BS129,1)*Source!I129),2)</f>
        <v>8.49</v>
      </c>
      <c r="I230" s="14"/>
      <c r="J230" s="14">
        <f>Source!BS129</f>
        <v>17.84</v>
      </c>
      <c r="K230" s="40">
        <f>Source!R129</f>
        <v>151.44</v>
      </c>
      <c r="L230" s="14"/>
    </row>
    <row r="231" spans="1:12" ht="15">
      <c r="A231" s="14"/>
      <c r="B231" s="14"/>
      <c r="C231" s="14" t="s">
        <v>435</v>
      </c>
      <c r="D231" s="14"/>
      <c r="E231" s="14"/>
      <c r="F231" s="16">
        <f>Source!AL129</f>
        <v>232.51</v>
      </c>
      <c r="G231" s="32">
        <f>Source!DD129</f>
      </c>
      <c r="H231" s="16">
        <f>ROUND((Source!CQ129/IF(Source!BC129&lt;&gt;0,Source!BC129,1)*Source!I129),2)</f>
        <v>38.13</v>
      </c>
      <c r="I231" s="14"/>
      <c r="J231" s="14">
        <f>Source!BC129</f>
        <v>6.14</v>
      </c>
      <c r="K231" s="16">
        <f>Source!P129</f>
        <v>234.13</v>
      </c>
      <c r="L231" s="14"/>
    </row>
    <row r="232" spans="1:24" ht="15">
      <c r="A232" s="14"/>
      <c r="B232" s="14"/>
      <c r="C232" s="14" t="s">
        <v>430</v>
      </c>
      <c r="D232" s="17" t="s">
        <v>431</v>
      </c>
      <c r="E232" s="14"/>
      <c r="F232" s="16">
        <f>Source!BZ129</f>
        <v>90</v>
      </c>
      <c r="G232" s="14"/>
      <c r="H232" s="16">
        <f>X232+X235</f>
        <v>89.27</v>
      </c>
      <c r="I232" s="14" t="str">
        <f>Source!FV129</f>
        <v>((*0.85))</v>
      </c>
      <c r="J232" s="16">
        <f>Source!AT129</f>
        <v>77</v>
      </c>
      <c r="K232" s="16">
        <f>Source!X129+Source!X130</f>
        <v>1362.58</v>
      </c>
      <c r="L232" s="14"/>
      <c r="X232">
        <f>ROUND((Source!FX129/100)*(ROUND((Source!CT129/IF(Source!BA129&lt;&gt;0,Source!BA129,1)*Source!I129),2)+ROUND((Source!CS129/IF(Source!BS129&lt;&gt;0,Source!BS129,1)*Source!I129),2)),2)</f>
        <v>89.27</v>
      </c>
    </row>
    <row r="233" spans="1:25" ht="15">
      <c r="A233" s="14"/>
      <c r="B233" s="14"/>
      <c r="C233" s="14" t="s">
        <v>123</v>
      </c>
      <c r="D233" s="17" t="s">
        <v>431</v>
      </c>
      <c r="E233" s="14"/>
      <c r="F233" s="16">
        <f>Source!CA129</f>
        <v>85</v>
      </c>
      <c r="G233" s="14"/>
      <c r="H233" s="16">
        <f>Y233+Y235</f>
        <v>84.31</v>
      </c>
      <c r="I233" s="14" t="str">
        <f>Source!FW129</f>
        <v>((*0.8))</v>
      </c>
      <c r="J233" s="16">
        <f>Source!AU129</f>
        <v>68</v>
      </c>
      <c r="K233" s="16">
        <f>Source!Y129+Source!Y130</f>
        <v>1203.32</v>
      </c>
      <c r="L233" s="14"/>
      <c r="Y233">
        <f>ROUND((Source!FY129/100)*(ROUND((Source!CT129/IF(Source!BA129&lt;&gt;0,Source!BA129,1)*Source!I129),2)+ROUND((Source!CS129/IF(Source!BS129&lt;&gt;0,Source!BS129,1)*Source!I129),2)),2)</f>
        <v>84.31</v>
      </c>
    </row>
    <row r="234" spans="1:12" ht="15">
      <c r="A234" s="14"/>
      <c r="B234" s="14"/>
      <c r="C234" s="14" t="s">
        <v>432</v>
      </c>
      <c r="D234" s="17" t="s">
        <v>433</v>
      </c>
      <c r="E234" s="14">
        <f>Source!AQ129</f>
        <v>63.28</v>
      </c>
      <c r="F234" s="14"/>
      <c r="G234" s="32">
        <f>Source!DI129</f>
      </c>
      <c r="H234" s="14"/>
      <c r="I234" s="14"/>
      <c r="J234" s="14"/>
      <c r="K234" s="14"/>
      <c r="L234" s="16">
        <f>Source!U129</f>
        <v>10.377920000000001</v>
      </c>
    </row>
    <row r="235" spans="1:25" ht="105">
      <c r="A235" s="42"/>
      <c r="B235" s="42" t="str">
        <f>Source!F130</f>
        <v>103-0160</v>
      </c>
      <c r="C235" s="43" t="str">
        <f>Source!G130</f>
        <v>Трубы стальные электросварные прямошовные со снятой фаской из стали марок БСт2кп-БСт4кп и БСт2пс-БСт4пс наружный диаметр 108 мм, толщина стенки 3,5 мм</v>
      </c>
      <c r="D235" s="44" t="str">
        <f>Source!H130</f>
        <v>м</v>
      </c>
      <c r="E235" s="34">
        <f>ROUND(Source!I130,6)</f>
        <v>16</v>
      </c>
      <c r="F235" s="37">
        <f>IF(Source!AL130=0,Source!AK130,Source!AL130)</f>
        <v>67.66</v>
      </c>
      <c r="G235" s="36">
        <f>Source!DD130</f>
      </c>
      <c r="H235" s="45">
        <f>ROUND((Source!CR130/IF(Source!BB130&lt;&gt;0,Source!BB130,1)*Source!I130),2)+ROUND((Source!CQ130/IF(Source!BC130&lt;&gt;0,Source!BC130,1)*Source!I130),2)+ROUND((Source!CT130/IF(Source!BA130&lt;&gt;0,Source!BA130,1)*Source!I130),2)</f>
        <v>1082.56</v>
      </c>
      <c r="I235" s="36" t="str">
        <f>IF(Source!BO130&lt;&gt;"",Source!BO130,"")</f>
        <v>103-0160</v>
      </c>
      <c r="J235" s="34">
        <f>Source!BC130</f>
        <v>3.45</v>
      </c>
      <c r="K235" s="37">
        <f>Source!O130</f>
        <v>3734.83</v>
      </c>
      <c r="L235" s="34"/>
      <c r="N235">
        <f>ROUND((Source!CT130/IF(Source!BA130&lt;&gt;0,Source!BA130,1)*Source!I130),2)</f>
        <v>0</v>
      </c>
      <c r="O235">
        <f>IF(Source!BI130=1,(ROUND((Source!CR130/IF(Source!BB130&lt;&gt;0,Source!BB130,1)*Source!I130),2)+ROUND((Source!CQ130/IF(Source!BC130&lt;&gt;0,Source!BC130,1)*Source!I130),2)+ROUND((Source!CT130/IF(Source!BA130&lt;&gt;0,Source!BA130,1)*Source!I130),2)),0)</f>
        <v>1082.56</v>
      </c>
      <c r="P235">
        <f>IF(Source!BI130=2,(ROUND((Source!CR130/IF(Source!BB130&lt;&gt;0,Source!BB130,1)*Source!I130),2)+ROUND((Source!CQ130/IF(Source!BC130&lt;&gt;0,Source!BC130,1)*Source!I130),2)+ROUND((Source!CT130/IF(Source!BA130&lt;&gt;0,Source!BA130,1)*Source!I130),2)),0)</f>
        <v>0</v>
      </c>
      <c r="Q235">
        <f>IF(Source!BI130=3,(ROUND((Source!CR130/IF(Source!BB130&lt;&gt;0,Source!BB130,1)*Source!I130),2)+ROUND((Source!CQ130/IF(Source!BC130&lt;&gt;0,Source!BC130,1)*Source!I130),2)+ROUND((Source!CT130/IF(Source!BA130&lt;&gt;0,Source!BA130,1)*Source!I130),2)),0)</f>
        <v>0</v>
      </c>
      <c r="R235">
        <f>IF(Source!BI130=4,(ROUND((Source!CR130/IF(Source!BB130&lt;&gt;0,Source!BB130,1)*Source!I130),2)+ROUND((Source!CQ130/IF(Source!BC130&lt;&gt;0,Source!BC130,1)*Source!I130),2)+ROUND((Source!CT130/IF(Source!BA130&lt;&gt;0,Source!BA130,1)*Source!I130),2)),0)</f>
        <v>0</v>
      </c>
      <c r="S235">
        <f>IF(Source!BI130=1,Source!O130+Source!X130+Source!Y130,0)</f>
        <v>3734.83</v>
      </c>
      <c r="T235">
        <f>IF(Source!BI130=2,Source!O130+Source!X130+Source!Y130,0)</f>
        <v>0</v>
      </c>
      <c r="U235">
        <f>IF(Source!BI130=3,Source!O130+Source!X130+Source!Y130,0)</f>
        <v>0</v>
      </c>
      <c r="V235">
        <f>IF(Source!BI130=4,Source!O130+Source!X130+Source!Y130,0)</f>
        <v>0</v>
      </c>
      <c r="W235">
        <f>ROUND((Source!CS130/IF(Source!BS130&lt;&gt;0,Source!BS130,1)*Source!I130),2)</f>
        <v>0</v>
      </c>
      <c r="X235">
        <f>ROUND((Source!FX130/100)*(ROUND((Source!CT130/IF(Source!BA130&lt;&gt;0,Source!BA130,1)*Source!I130),2)+ROUND((Source!CS130/IF(Source!BS130&lt;&gt;0,Source!BS130,1)*Source!I130),2)),2)</f>
        <v>0</v>
      </c>
      <c r="Y235">
        <f>ROUND((Source!FY130/100)*(ROUND((Source!CT130/IF(Source!BA130&lt;&gt;0,Source!BA130,1)*Source!I130),2)+ROUND((Source!CS130/IF(Source!BS130&lt;&gt;0,Source!BS130,1)*Source!I130),2)),2)</f>
        <v>0</v>
      </c>
    </row>
    <row r="236" spans="1:23" ht="15.75">
      <c r="A236" s="14"/>
      <c r="B236" s="14"/>
      <c r="C236" s="14"/>
      <c r="D236" s="14"/>
      <c r="E236" s="14"/>
      <c r="F236" s="14"/>
      <c r="G236" s="14"/>
      <c r="H236" s="38">
        <f>ROUND((Source!CT129/IF(Source!BA129&lt;&gt;0,Source!BA129,1)*Source!I129),2)+ROUND((Source!CR129/IF(Source!BB129&lt;&gt;0,Source!BB129,1)*Source!I129),2)+H231+H232+H233+H235</f>
        <v>1463.2199999999998</v>
      </c>
      <c r="I236" s="39"/>
      <c r="J236" s="39"/>
      <c r="K236" s="38">
        <f>Source!S129+Source!Q129+K231+K232+K233+K235</f>
        <v>8726.6</v>
      </c>
      <c r="L236" s="38">
        <f>Source!U129</f>
        <v>10.377920000000001</v>
      </c>
      <c r="M236" s="33">
        <f>H236</f>
        <v>1463.2199999999998</v>
      </c>
      <c r="N236">
        <f>ROUND((Source!CT129/IF(Source!BA129&lt;&gt;0,Source!BA129,1)*Source!I129),2)</f>
        <v>90.7</v>
      </c>
      <c r="O236">
        <f>IF(Source!BI129=1,((((Source!CT129/IF(Source!BA129&lt;&gt;0,Source!BA129,1)*Source!I129)+(Source!CR129/IF(Source!BB129&lt;&gt;0,Source!BB129,1)*Source!I129)+(Source!CQ129/IF(Source!BC129&lt;&gt;0,Source!BC129,1)*Source!I129))+((Source!FX129/100)*((Source!CT129/IF(Source!BA129&lt;&gt;0,Source!BA129,1)*Source!I129)+(Source!CS129/IF(Source!BS129&lt;&gt;0,Source!BS129,1)*Source!I129)))+((Source!FY129/100)*((Source!CT129/IF(Source!BA129&lt;&gt;0,Source!BA129,1)*Source!I129)+(Source!CS129/IF(Source!BS129&lt;&gt;0,Source!BS129,1)*Source!I129))))),0)</f>
        <v>380.67393000000004</v>
      </c>
      <c r="P236">
        <f>IF(Source!BI129=2,((((Source!CT129/IF(Source!BA129&lt;&gt;0,Source!BA129,1)*Source!I129)+(Source!CR129/IF(Source!BB129&lt;&gt;0,Source!BB129,1)*Source!I129)+(Source!CQ129/IF(Source!BC129&lt;&gt;0,Source!BC129,1)*Source!I129))+((Source!FX129/100)*((Source!CT129/IF(Source!BA129&lt;&gt;0,Source!BA129,1)*Source!I129)+(Source!CS129/IF(Source!BS129&lt;&gt;0,Source!BS129,1)*Source!I129)))+((Source!FY129/100)*((Source!CT129/IF(Source!BA129&lt;&gt;0,Source!BA129,1)*Source!I129)+(Source!CS129/IF(Source!BS129&lt;&gt;0,Source!BS129,1)*Source!I129))))),0)</f>
        <v>0</v>
      </c>
      <c r="Q236">
        <f>IF(Source!BI129=3,((((Source!CT129/IF(Source!BA129&lt;&gt;0,Source!BA129,1)*Source!I129)+(Source!CR129/IF(Source!BB129&lt;&gt;0,Source!BB129,1)*Source!I129)+(Source!CQ129/IF(Source!BC129&lt;&gt;0,Source!BC129,1)*Source!I129))+((Source!FX129/100)*((Source!CT129/IF(Source!BA129&lt;&gt;0,Source!BA129,1)*Source!I129)+(Source!CS129/IF(Source!BS129&lt;&gt;0,Source!BS129,1)*Source!I129)))+((Source!FY129/100)*((Source!CT129/IF(Source!BA129&lt;&gt;0,Source!BA129,1)*Source!I129)+(Source!CS129/IF(Source!BS129&lt;&gt;0,Source!BS129,1)*Source!I129))))),0)</f>
        <v>0</v>
      </c>
      <c r="R236">
        <f>IF(Source!BI129=4,((((Source!CT129/IF(Source!BA129&lt;&gt;0,Source!BA129,1)*Source!I129)+(Source!CR129/IF(Source!BB129&lt;&gt;0,Source!BB129,1)*Source!I129)+(Source!CQ129/IF(Source!BC129&lt;&gt;0,Source!BC129,1)*Source!I129))+((Source!FX129/100)*((Source!CT129/IF(Source!BA129&lt;&gt;0,Source!BA129,1)*Source!I129)+(Source!CS129/IF(Source!BS129&lt;&gt;0,Source!BS129,1)*Source!I129)))+((Source!FY129/100)*((Source!CT129/IF(Source!BA129&lt;&gt;0,Source!BA129,1)*Source!I129)+(Source!CS129/IF(Source!BS129&lt;&gt;0,Source!BS129,1)*Source!I129))))),0)</f>
        <v>0</v>
      </c>
      <c r="S236">
        <f>IF(Source!BI129=1,Source!O129+Source!X129+Source!Y129,0)</f>
        <v>4991.7699999999995</v>
      </c>
      <c r="T236">
        <f>IF(Source!BI129=2,Source!O129+Source!X129+Source!Y129,0)</f>
        <v>0</v>
      </c>
      <c r="U236">
        <f>IF(Source!BI129=3,Source!O129+Source!X129+Source!Y129,0)</f>
        <v>0</v>
      </c>
      <c r="V236">
        <f>IF(Source!BI129=4,Source!O129+Source!X129+Source!Y129,0)</f>
        <v>0</v>
      </c>
      <c r="W236">
        <f>ROUND((Source!CS129/IF(Source!BS129&lt;&gt;0,Source!BS129,1)*Source!I129),2)</f>
        <v>8.49</v>
      </c>
    </row>
    <row r="237" spans="1:12" ht="45">
      <c r="A237" s="29" t="str">
        <f>Source!E131</f>
        <v>27</v>
      </c>
      <c r="B237" s="29" t="str">
        <f>Source!F131</f>
        <v>13-03-002-4</v>
      </c>
      <c r="C237" s="30" t="str">
        <f>Source!G131</f>
        <v>Огрунтовка металлических поверхностей за один раз грунтовкой ГФ-021</v>
      </c>
      <c r="D237" s="31" t="str">
        <f>Source!H131</f>
        <v>100 м2</v>
      </c>
      <c r="E237" s="14">
        <f>ROUND(Source!I131,6)</f>
        <v>0.106</v>
      </c>
      <c r="F237" s="16">
        <f>IF(Source!AK131&lt;&gt;0,Source!AK131,Source!AL131+Source!AM131+Source!AO131)</f>
        <v>268.8</v>
      </c>
      <c r="G237" s="14"/>
      <c r="H237" s="14"/>
      <c r="I237" s="32" t="str">
        <f>IF(Source!BO131&lt;&gt;"",Source!BO131,"")</f>
        <v>13-03-002-4</v>
      </c>
      <c r="J237" s="14"/>
      <c r="K237" s="14"/>
      <c r="L237" s="14"/>
    </row>
    <row r="238" spans="1:12" ht="15">
      <c r="A238" s="14"/>
      <c r="B238" s="14"/>
      <c r="C238" s="14" t="s">
        <v>429</v>
      </c>
      <c r="D238" s="14"/>
      <c r="E238" s="14"/>
      <c r="F238" s="16">
        <f>Source!AO131</f>
        <v>56.55</v>
      </c>
      <c r="G238" s="32">
        <f>Source!DG131</f>
      </c>
      <c r="H238" s="16">
        <f>ROUND((Source!CT131/IF(Source!BA131&lt;&gt;0,Source!BA131,1)*Source!I131),2)</f>
        <v>5.99</v>
      </c>
      <c r="I238" s="14"/>
      <c r="J238" s="14">
        <f>Source!BA131</f>
        <v>17.84</v>
      </c>
      <c r="K238" s="16">
        <f>Source!S131</f>
        <v>106.94</v>
      </c>
      <c r="L238" s="14"/>
    </row>
    <row r="239" spans="1:12" ht="15">
      <c r="A239" s="14"/>
      <c r="B239" s="14"/>
      <c r="C239" s="14" t="s">
        <v>107</v>
      </c>
      <c r="D239" s="14"/>
      <c r="E239" s="14"/>
      <c r="F239" s="16">
        <f>Source!AM131</f>
        <v>9.53</v>
      </c>
      <c r="G239" s="32">
        <f>Source!DE131</f>
      </c>
      <c r="H239" s="16">
        <f>ROUND((Source!CR131/IF(Source!BB131&lt;&gt;0,Source!BB131,1)*Source!I131),2)</f>
        <v>1.01</v>
      </c>
      <c r="I239" s="14"/>
      <c r="J239" s="14">
        <f>Source!BB131</f>
        <v>4.83</v>
      </c>
      <c r="K239" s="16">
        <f>Source!Q131</f>
        <v>4.88</v>
      </c>
      <c r="L239" s="14"/>
    </row>
    <row r="240" spans="1:12" ht="15">
      <c r="A240" s="14"/>
      <c r="B240" s="14"/>
      <c r="C240" s="14" t="s">
        <v>434</v>
      </c>
      <c r="D240" s="14"/>
      <c r="E240" s="14"/>
      <c r="F240" s="16">
        <f>Source!AN131</f>
        <v>0.1</v>
      </c>
      <c r="G240" s="32">
        <f>Source!DF131</f>
      </c>
      <c r="H240" s="40">
        <f>ROUND((Source!CS131/IF(Source!BS131&lt;&gt;0,Source!BS131,1)*Source!I131),2)</f>
        <v>0.01</v>
      </c>
      <c r="I240" s="14"/>
      <c r="J240" s="14">
        <f>Source!BS131</f>
        <v>17.84</v>
      </c>
      <c r="K240" s="40">
        <f>Source!R131</f>
        <v>0.19</v>
      </c>
      <c r="L240" s="14"/>
    </row>
    <row r="241" spans="1:12" ht="15">
      <c r="A241" s="14"/>
      <c r="B241" s="14"/>
      <c r="C241" s="14" t="s">
        <v>435</v>
      </c>
      <c r="D241" s="14"/>
      <c r="E241" s="14"/>
      <c r="F241" s="16">
        <f>Source!AL131</f>
        <v>202.72</v>
      </c>
      <c r="G241" s="32">
        <f>Source!DD131</f>
      </c>
      <c r="H241" s="16">
        <f>ROUND((Source!CQ131/IF(Source!BC131&lt;&gt;0,Source!BC131,1)*Source!I131),2)</f>
        <v>21.49</v>
      </c>
      <c r="I241" s="14"/>
      <c r="J241" s="14">
        <f>Source!BC131</f>
        <v>2.74</v>
      </c>
      <c r="K241" s="16">
        <f>Source!P131</f>
        <v>58.88</v>
      </c>
      <c r="L241" s="14"/>
    </row>
    <row r="242" spans="1:24" ht="15">
      <c r="A242" s="14"/>
      <c r="B242" s="14"/>
      <c r="C242" s="14" t="s">
        <v>430</v>
      </c>
      <c r="D242" s="17" t="s">
        <v>431</v>
      </c>
      <c r="E242" s="14"/>
      <c r="F242" s="16">
        <f>Source!BZ131</f>
        <v>90</v>
      </c>
      <c r="G242" s="14"/>
      <c r="H242" s="16">
        <f>X242</f>
        <v>5.4</v>
      </c>
      <c r="I242" s="14" t="str">
        <f>Source!FV131</f>
        <v>((*0.85))</v>
      </c>
      <c r="J242" s="16">
        <f>Source!AT131</f>
        <v>77</v>
      </c>
      <c r="K242" s="16">
        <f>Source!X131</f>
        <v>82.49</v>
      </c>
      <c r="L242" s="14"/>
      <c r="X242">
        <f>ROUND((Source!FX131/100)*(ROUND((Source!CT131/IF(Source!BA131&lt;&gt;0,Source!BA131,1)*Source!I131),2)+ROUND((Source!CS131/IF(Source!BS131&lt;&gt;0,Source!BS131,1)*Source!I131),2)),2)</f>
        <v>5.4</v>
      </c>
    </row>
    <row r="243" spans="1:25" ht="15">
      <c r="A243" s="14"/>
      <c r="B243" s="14"/>
      <c r="C243" s="14" t="s">
        <v>123</v>
      </c>
      <c r="D243" s="17" t="s">
        <v>431</v>
      </c>
      <c r="E243" s="14"/>
      <c r="F243" s="16">
        <f>Source!CA131</f>
        <v>70</v>
      </c>
      <c r="G243" s="14"/>
      <c r="H243" s="16">
        <f>Y243</f>
        <v>4.2</v>
      </c>
      <c r="I243" s="14" t="str">
        <f>Source!FW131</f>
        <v>((*0.8))</v>
      </c>
      <c r="J243" s="16">
        <f>Source!AU131</f>
        <v>56</v>
      </c>
      <c r="K243" s="16">
        <f>Source!Y131</f>
        <v>59.99</v>
      </c>
      <c r="L243" s="14"/>
      <c r="Y243">
        <f>ROUND((Source!FY131/100)*(ROUND((Source!CT131/IF(Source!BA131&lt;&gt;0,Source!BA131,1)*Source!I131),2)+ROUND((Source!CS131/IF(Source!BS131&lt;&gt;0,Source!BS131,1)*Source!I131),2)),2)</f>
        <v>4.2</v>
      </c>
    </row>
    <row r="244" spans="1:12" ht="15">
      <c r="A244" s="34"/>
      <c r="B244" s="34"/>
      <c r="C244" s="34" t="s">
        <v>432</v>
      </c>
      <c r="D244" s="35" t="s">
        <v>433</v>
      </c>
      <c r="E244" s="34">
        <f>Source!AQ131</f>
        <v>5.31</v>
      </c>
      <c r="F244" s="34"/>
      <c r="G244" s="36">
        <f>Source!DI131</f>
      </c>
      <c r="H244" s="34"/>
      <c r="I244" s="34"/>
      <c r="J244" s="34"/>
      <c r="K244" s="34"/>
      <c r="L244" s="37">
        <f>Source!U131</f>
        <v>0.5628599999999999</v>
      </c>
    </row>
    <row r="245" spans="1:23" ht="15.75">
      <c r="A245" s="14"/>
      <c r="B245" s="14"/>
      <c r="C245" s="14"/>
      <c r="D245" s="14"/>
      <c r="E245" s="14"/>
      <c r="F245" s="14"/>
      <c r="G245" s="14"/>
      <c r="H245" s="38">
        <f>ROUND((Source!CT131/IF(Source!BA131&lt;&gt;0,Source!BA131,1)*Source!I131),2)+ROUND((Source!CR131/IF(Source!BB131&lt;&gt;0,Source!BB131,1)*Source!I131),2)+H241+H242+H243</f>
        <v>38.09</v>
      </c>
      <c r="I245" s="39"/>
      <c r="J245" s="39"/>
      <c r="K245" s="38">
        <f>Source!S131+Source!Q131+K241+K242+K243</f>
        <v>313.18</v>
      </c>
      <c r="L245" s="38">
        <f>Source!U131</f>
        <v>0.5628599999999999</v>
      </c>
      <c r="M245" s="33">
        <f>H245</f>
        <v>38.09</v>
      </c>
      <c r="N245">
        <f>ROUND((Source!CT131/IF(Source!BA131&lt;&gt;0,Source!BA131,1)*Source!I131),2)</f>
        <v>5.99</v>
      </c>
      <c r="O245">
        <f>IF(Source!BI131=1,((((Source!CT131/IF(Source!BA131&lt;&gt;0,Source!BA131,1)*Source!I131)+(Source!CR131/IF(Source!BB131&lt;&gt;0,Source!BB131,1)*Source!I131)+(Source!CQ131/IF(Source!BC131&lt;&gt;0,Source!BC131,1)*Source!I131))+((Source!FX131/100)*((Source!CT131/IF(Source!BA131&lt;&gt;0,Source!BA131,1)*Source!I131)+(Source!CS131/IF(Source!BS131&lt;&gt;0,Source!BS131,1)*Source!I131)))+((Source!FY131/100)*((Source!CT131/IF(Source!BA131&lt;&gt;0,Source!BA131,1)*Source!I131)+(Source!CS131/IF(Source!BS131&lt;&gt;0,Source!BS131,1)*Source!I131))))),0)</f>
        <v>38.10064</v>
      </c>
      <c r="P245">
        <f>IF(Source!BI131=2,((((Source!CT131/IF(Source!BA131&lt;&gt;0,Source!BA131,1)*Source!I131)+(Source!CR131/IF(Source!BB131&lt;&gt;0,Source!BB131,1)*Source!I131)+(Source!CQ131/IF(Source!BC131&lt;&gt;0,Source!BC131,1)*Source!I131))+((Source!FX131/100)*((Source!CT131/IF(Source!BA131&lt;&gt;0,Source!BA131,1)*Source!I131)+(Source!CS131/IF(Source!BS131&lt;&gt;0,Source!BS131,1)*Source!I131)))+((Source!FY131/100)*((Source!CT131/IF(Source!BA131&lt;&gt;0,Source!BA131,1)*Source!I131)+(Source!CS131/IF(Source!BS131&lt;&gt;0,Source!BS131,1)*Source!I131))))),0)</f>
        <v>0</v>
      </c>
      <c r="Q245">
        <f>IF(Source!BI131=3,((((Source!CT131/IF(Source!BA131&lt;&gt;0,Source!BA131,1)*Source!I131)+(Source!CR131/IF(Source!BB131&lt;&gt;0,Source!BB131,1)*Source!I131)+(Source!CQ131/IF(Source!BC131&lt;&gt;0,Source!BC131,1)*Source!I131))+((Source!FX131/100)*((Source!CT131/IF(Source!BA131&lt;&gt;0,Source!BA131,1)*Source!I131)+(Source!CS131/IF(Source!BS131&lt;&gt;0,Source!BS131,1)*Source!I131)))+((Source!FY131/100)*((Source!CT131/IF(Source!BA131&lt;&gt;0,Source!BA131,1)*Source!I131)+(Source!CS131/IF(Source!BS131&lt;&gt;0,Source!BS131,1)*Source!I131))))),0)</f>
        <v>0</v>
      </c>
      <c r="R245">
        <f>IF(Source!BI131=4,((((Source!CT131/IF(Source!BA131&lt;&gt;0,Source!BA131,1)*Source!I131)+(Source!CR131/IF(Source!BB131&lt;&gt;0,Source!BB131,1)*Source!I131)+(Source!CQ131/IF(Source!BC131&lt;&gt;0,Source!BC131,1)*Source!I131))+((Source!FX131/100)*((Source!CT131/IF(Source!BA131&lt;&gt;0,Source!BA131,1)*Source!I131)+(Source!CS131/IF(Source!BS131&lt;&gt;0,Source!BS131,1)*Source!I131)))+((Source!FY131/100)*((Source!CT131/IF(Source!BA131&lt;&gt;0,Source!BA131,1)*Source!I131)+(Source!CS131/IF(Source!BS131&lt;&gt;0,Source!BS131,1)*Source!I131))))),0)</f>
        <v>0</v>
      </c>
      <c r="S245">
        <f>IF(Source!BI131=1,Source!O131+Source!X131+Source!Y131,0)</f>
        <v>313.18</v>
      </c>
      <c r="T245">
        <f>IF(Source!BI131=2,Source!O131+Source!X131+Source!Y131,0)</f>
        <v>0</v>
      </c>
      <c r="U245">
        <f>IF(Source!BI131=3,Source!O131+Source!X131+Source!Y131,0)</f>
        <v>0</v>
      </c>
      <c r="V245">
        <f>IF(Source!BI131=4,Source!O131+Source!X131+Source!Y131,0)</f>
        <v>0</v>
      </c>
      <c r="W245">
        <f>ROUND((Source!CS131/IF(Source!BS131&lt;&gt;0,Source!BS131,1)*Source!I131),2)</f>
        <v>0.01</v>
      </c>
    </row>
    <row r="246" spans="1:12" ht="45">
      <c r="A246" s="29" t="str">
        <f>Source!E132</f>
        <v>28</v>
      </c>
      <c r="B246" s="29" t="str">
        <f>Source!F132</f>
        <v>13-03-004-26</v>
      </c>
      <c r="C246" s="30" t="str">
        <f>Source!G132</f>
        <v>Окраска металлических огрунтованных поверхностей эмалью ПФ-115</v>
      </c>
      <c r="D246" s="31" t="str">
        <f>Source!H132</f>
        <v>100 м2</v>
      </c>
      <c r="E246" s="14">
        <f>ROUND(Source!I132,6)</f>
        <v>0.106</v>
      </c>
      <c r="F246" s="16">
        <f>IF(Source!AK132&lt;&gt;0,Source!AK132,Source!AL132+Source!AM132+Source!AO132)</f>
        <v>335.12</v>
      </c>
      <c r="G246" s="14"/>
      <c r="H246" s="14"/>
      <c r="I246" s="32" t="str">
        <f>IF(Source!BO132&lt;&gt;"",Source!BO132,"")</f>
        <v>13-03-004-26</v>
      </c>
      <c r="J246" s="14"/>
      <c r="K246" s="14"/>
      <c r="L246" s="14"/>
    </row>
    <row r="247" spans="1:12" ht="15">
      <c r="A247" s="14"/>
      <c r="B247" s="14"/>
      <c r="C247" s="14" t="s">
        <v>429</v>
      </c>
      <c r="D247" s="14"/>
      <c r="E247" s="14"/>
      <c r="F247" s="16">
        <f>Source!AO132</f>
        <v>34.74</v>
      </c>
      <c r="G247" s="32">
        <f>Source!DG132</f>
      </c>
      <c r="H247" s="16">
        <f>ROUND((Source!CT132/IF(Source!BA132&lt;&gt;0,Source!BA132,1)*Source!I132),2)</f>
        <v>3.68</v>
      </c>
      <c r="I247" s="14"/>
      <c r="J247" s="14">
        <f>Source!BA132</f>
        <v>17.84</v>
      </c>
      <c r="K247" s="16">
        <f>Source!S132</f>
        <v>65.69</v>
      </c>
      <c r="L247" s="14"/>
    </row>
    <row r="248" spans="1:12" ht="15">
      <c r="A248" s="14"/>
      <c r="B248" s="14"/>
      <c r="C248" s="14" t="s">
        <v>107</v>
      </c>
      <c r="D248" s="14"/>
      <c r="E248" s="14"/>
      <c r="F248" s="16">
        <f>Source!AM132</f>
        <v>6.32</v>
      </c>
      <c r="G248" s="32">
        <f>Source!DE132</f>
      </c>
      <c r="H248" s="16">
        <f>ROUND((Source!CR132/IF(Source!BB132&lt;&gt;0,Source!BB132,1)*Source!I132),2)</f>
        <v>0.67</v>
      </c>
      <c r="I248" s="14"/>
      <c r="J248" s="14">
        <f>Source!BB132</f>
        <v>5.04</v>
      </c>
      <c r="K248" s="16">
        <f>Source!Q132</f>
        <v>3.38</v>
      </c>
      <c r="L248" s="14"/>
    </row>
    <row r="249" spans="1:12" ht="15">
      <c r="A249" s="14"/>
      <c r="B249" s="14"/>
      <c r="C249" s="14" t="s">
        <v>434</v>
      </c>
      <c r="D249" s="14"/>
      <c r="E249" s="14"/>
      <c r="F249" s="16">
        <f>Source!AN132</f>
        <v>0.1</v>
      </c>
      <c r="G249" s="32">
        <f>Source!DF132</f>
      </c>
      <c r="H249" s="40">
        <f>ROUND((Source!CS132/IF(Source!BS132&lt;&gt;0,Source!BS132,1)*Source!I132),2)</f>
        <v>0.01</v>
      </c>
      <c r="I249" s="14"/>
      <c r="J249" s="14">
        <f>Source!BS132</f>
        <v>17.84</v>
      </c>
      <c r="K249" s="40">
        <f>Source!R132</f>
        <v>0.19</v>
      </c>
      <c r="L249" s="14"/>
    </row>
    <row r="250" spans="1:12" ht="15">
      <c r="A250" s="14"/>
      <c r="B250" s="14"/>
      <c r="C250" s="14" t="s">
        <v>435</v>
      </c>
      <c r="D250" s="14"/>
      <c r="E250" s="14"/>
      <c r="F250" s="16">
        <f>Source!AL132</f>
        <v>294.06</v>
      </c>
      <c r="G250" s="32">
        <f>Source!DD132</f>
      </c>
      <c r="H250" s="16">
        <f>ROUND((Source!CQ132/IF(Source!BC132&lt;&gt;0,Source!BC132,1)*Source!I132),2)</f>
        <v>31.17</v>
      </c>
      <c r="I250" s="14"/>
      <c r="J250" s="14">
        <f>Source!BC132</f>
        <v>3.35</v>
      </c>
      <c r="K250" s="16">
        <f>Source!P132</f>
        <v>104.42</v>
      </c>
      <c r="L250" s="14"/>
    </row>
    <row r="251" spans="1:24" ht="15">
      <c r="A251" s="14"/>
      <c r="B251" s="14"/>
      <c r="C251" s="14" t="s">
        <v>430</v>
      </c>
      <c r="D251" s="17" t="s">
        <v>431</v>
      </c>
      <c r="E251" s="14"/>
      <c r="F251" s="16">
        <f>Source!BZ132</f>
        <v>90</v>
      </c>
      <c r="G251" s="14"/>
      <c r="H251" s="16">
        <f>X251</f>
        <v>3.32</v>
      </c>
      <c r="I251" s="14" t="str">
        <f>Source!FV132</f>
        <v>((*0.85))</v>
      </c>
      <c r="J251" s="16">
        <f>Source!AT132</f>
        <v>77</v>
      </c>
      <c r="K251" s="16">
        <f>Source!X132</f>
        <v>50.73</v>
      </c>
      <c r="L251" s="14"/>
      <c r="X251">
        <f>ROUND((Source!FX132/100)*(ROUND((Source!CT132/IF(Source!BA132&lt;&gt;0,Source!BA132,1)*Source!I132),2)+ROUND((Source!CS132/IF(Source!BS132&lt;&gt;0,Source!BS132,1)*Source!I132),2)),2)</f>
        <v>3.32</v>
      </c>
    </row>
    <row r="252" spans="1:25" ht="15">
      <c r="A252" s="14"/>
      <c r="B252" s="14"/>
      <c r="C252" s="14" t="s">
        <v>123</v>
      </c>
      <c r="D252" s="17" t="s">
        <v>431</v>
      </c>
      <c r="E252" s="14"/>
      <c r="F252" s="16">
        <f>Source!CA132</f>
        <v>70</v>
      </c>
      <c r="G252" s="14"/>
      <c r="H252" s="16">
        <f>Y252</f>
        <v>2.58</v>
      </c>
      <c r="I252" s="14" t="str">
        <f>Source!FW132</f>
        <v>((*0.8))</v>
      </c>
      <c r="J252" s="16">
        <f>Source!AU132</f>
        <v>56</v>
      </c>
      <c r="K252" s="16">
        <f>Source!Y132</f>
        <v>36.89</v>
      </c>
      <c r="L252" s="14"/>
      <c r="Y252">
        <f>ROUND((Source!FY132/100)*(ROUND((Source!CT132/IF(Source!BA132&lt;&gt;0,Source!BA132,1)*Source!I132),2)+ROUND((Source!CS132/IF(Source!BS132&lt;&gt;0,Source!BS132,1)*Source!I132),2)),2)</f>
        <v>2.58</v>
      </c>
    </row>
    <row r="253" spans="1:12" ht="15">
      <c r="A253" s="34"/>
      <c r="B253" s="34"/>
      <c r="C253" s="34" t="s">
        <v>432</v>
      </c>
      <c r="D253" s="35" t="s">
        <v>433</v>
      </c>
      <c r="E253" s="34">
        <f>Source!AQ132</f>
        <v>3.83</v>
      </c>
      <c r="F253" s="34"/>
      <c r="G253" s="36">
        <f>Source!DI132</f>
      </c>
      <c r="H253" s="34"/>
      <c r="I253" s="34"/>
      <c r="J253" s="34"/>
      <c r="K253" s="34"/>
      <c r="L253" s="37">
        <f>Source!U132</f>
        <v>0.40598</v>
      </c>
    </row>
    <row r="254" spans="1:23" ht="15.75">
      <c r="A254" s="14"/>
      <c r="B254" s="14"/>
      <c r="C254" s="14"/>
      <c r="D254" s="14"/>
      <c r="E254" s="14"/>
      <c r="F254" s="14"/>
      <c r="G254" s="14"/>
      <c r="H254" s="38">
        <f>ROUND((Source!CT132/IF(Source!BA132&lt;&gt;0,Source!BA132,1)*Source!I132),2)+ROUND((Source!CR132/IF(Source!BB132&lt;&gt;0,Source!BB132,1)*Source!I132),2)+H250+H251+H252</f>
        <v>41.42</v>
      </c>
      <c r="I254" s="39"/>
      <c r="J254" s="39"/>
      <c r="K254" s="38">
        <f>Source!S132+Source!Q132+K250+K251+K252</f>
        <v>261.11</v>
      </c>
      <c r="L254" s="38">
        <f>Source!U132</f>
        <v>0.40598</v>
      </c>
      <c r="M254" s="33">
        <f>H254</f>
        <v>41.42</v>
      </c>
      <c r="N254">
        <f>ROUND((Source!CT132/IF(Source!BA132&lt;&gt;0,Source!BA132,1)*Source!I132),2)</f>
        <v>3.68</v>
      </c>
      <c r="O254">
        <f>IF(Source!BI132=1,((((Source!CT132/IF(Source!BA132&lt;&gt;0,Source!BA132,1)*Source!I132)+(Source!CR132/IF(Source!BB132&lt;&gt;0,Source!BB132,1)*Source!I132)+(Source!CQ132/IF(Source!BC132&lt;&gt;0,Source!BC132,1)*Source!I132))+((Source!FX132/100)*((Source!CT132/IF(Source!BA132&lt;&gt;0,Source!BA132,1)*Source!I132)+(Source!CS132/IF(Source!BS132&lt;&gt;0,Source!BS132,1)*Source!I132)))+((Source!FY132/100)*((Source!CT132/IF(Source!BA132&lt;&gt;0,Source!BA132,1)*Source!I132)+(Source!CS132/IF(Source!BS132&lt;&gt;0,Source!BS132,1)*Source!I132))))),0)</f>
        <v>41.431584</v>
      </c>
      <c r="P254">
        <f>IF(Source!BI132=2,((((Source!CT132/IF(Source!BA132&lt;&gt;0,Source!BA132,1)*Source!I132)+(Source!CR132/IF(Source!BB132&lt;&gt;0,Source!BB132,1)*Source!I132)+(Source!CQ132/IF(Source!BC132&lt;&gt;0,Source!BC132,1)*Source!I132))+((Source!FX132/100)*((Source!CT132/IF(Source!BA132&lt;&gt;0,Source!BA132,1)*Source!I132)+(Source!CS132/IF(Source!BS132&lt;&gt;0,Source!BS132,1)*Source!I132)))+((Source!FY132/100)*((Source!CT132/IF(Source!BA132&lt;&gt;0,Source!BA132,1)*Source!I132)+(Source!CS132/IF(Source!BS132&lt;&gt;0,Source!BS132,1)*Source!I132))))),0)</f>
        <v>0</v>
      </c>
      <c r="Q254">
        <f>IF(Source!BI132=3,((((Source!CT132/IF(Source!BA132&lt;&gt;0,Source!BA132,1)*Source!I132)+(Source!CR132/IF(Source!BB132&lt;&gt;0,Source!BB132,1)*Source!I132)+(Source!CQ132/IF(Source!BC132&lt;&gt;0,Source!BC132,1)*Source!I132))+((Source!FX132/100)*((Source!CT132/IF(Source!BA132&lt;&gt;0,Source!BA132,1)*Source!I132)+(Source!CS132/IF(Source!BS132&lt;&gt;0,Source!BS132,1)*Source!I132)))+((Source!FY132/100)*((Source!CT132/IF(Source!BA132&lt;&gt;0,Source!BA132,1)*Source!I132)+(Source!CS132/IF(Source!BS132&lt;&gt;0,Source!BS132,1)*Source!I132))))),0)</f>
        <v>0</v>
      </c>
      <c r="R254">
        <f>IF(Source!BI132=4,((((Source!CT132/IF(Source!BA132&lt;&gt;0,Source!BA132,1)*Source!I132)+(Source!CR132/IF(Source!BB132&lt;&gt;0,Source!BB132,1)*Source!I132)+(Source!CQ132/IF(Source!BC132&lt;&gt;0,Source!BC132,1)*Source!I132))+((Source!FX132/100)*((Source!CT132/IF(Source!BA132&lt;&gt;0,Source!BA132,1)*Source!I132)+(Source!CS132/IF(Source!BS132&lt;&gt;0,Source!BS132,1)*Source!I132)))+((Source!FY132/100)*((Source!CT132/IF(Source!BA132&lt;&gt;0,Source!BA132,1)*Source!I132)+(Source!CS132/IF(Source!BS132&lt;&gt;0,Source!BS132,1)*Source!I132))))),0)</f>
        <v>0</v>
      </c>
      <c r="S254">
        <f>IF(Source!BI132=1,Source!O132+Source!X132+Source!Y132,0)</f>
        <v>261.11</v>
      </c>
      <c r="T254">
        <f>IF(Source!BI132=2,Source!O132+Source!X132+Source!Y132,0)</f>
        <v>0</v>
      </c>
      <c r="U254">
        <f>IF(Source!BI132=3,Source!O132+Source!X132+Source!Y132,0)</f>
        <v>0</v>
      </c>
      <c r="V254">
        <f>IF(Source!BI132=4,Source!O132+Source!X132+Source!Y132,0)</f>
        <v>0</v>
      </c>
      <c r="W254">
        <f>ROUND((Source!CS132/IF(Source!BS132&lt;&gt;0,Source!BS132,1)*Source!I132),2)</f>
        <v>0.01</v>
      </c>
    </row>
    <row r="256" spans="3:23" s="39" customFormat="1" ht="15.75">
      <c r="C256" s="39" t="s">
        <v>174</v>
      </c>
      <c r="G256" s="91">
        <f>SUM(M205:M255)</f>
        <v>13497.66</v>
      </c>
      <c r="H256" s="91"/>
      <c r="J256" s="91">
        <f>ROUND(Source!AB121+Source!AK121+Source!AL121+Source!AE121*0/100,2)</f>
        <v>130965.27</v>
      </c>
      <c r="K256" s="91"/>
      <c r="L256" s="38">
        <f>Source!AH121</f>
        <v>205.79</v>
      </c>
      <c r="N256" s="38">
        <f aca="true" t="shared" si="3" ref="N256:W256">SUM(N205:N255)</f>
        <v>1708.3200000000002</v>
      </c>
      <c r="O256" s="38">
        <f t="shared" si="3"/>
        <v>13497.691449000004</v>
      </c>
      <c r="P256" s="38">
        <f t="shared" si="3"/>
        <v>0</v>
      </c>
      <c r="Q256" s="38">
        <f t="shared" si="3"/>
        <v>0</v>
      </c>
      <c r="R256" s="38">
        <f t="shared" si="3"/>
        <v>0</v>
      </c>
      <c r="S256" s="38">
        <f t="shared" si="3"/>
        <v>130965.27</v>
      </c>
      <c r="T256" s="38">
        <f t="shared" si="3"/>
        <v>0</v>
      </c>
      <c r="U256" s="38">
        <f t="shared" si="3"/>
        <v>0</v>
      </c>
      <c r="V256" s="38">
        <f t="shared" si="3"/>
        <v>0</v>
      </c>
      <c r="W256" s="39">
        <f t="shared" si="3"/>
        <v>178</v>
      </c>
    </row>
    <row r="259" spans="3:12" s="46" customFormat="1" ht="18">
      <c r="C259" s="46" t="s">
        <v>436</v>
      </c>
      <c r="G259" s="90">
        <f>G116+G168+G201+G256</f>
        <v>47576.31</v>
      </c>
      <c r="H259" s="90"/>
      <c r="J259" s="90">
        <f>ROUND(Source!O150+Source!X150+Source!Y150+Source!R150*0/100,2)</f>
        <v>490199.37</v>
      </c>
      <c r="K259" s="90"/>
      <c r="L259" s="47">
        <f>Source!U150</f>
        <v>700.1</v>
      </c>
    </row>
    <row r="261" spans="3:11" ht="18">
      <c r="C261" s="46" t="s">
        <v>437</v>
      </c>
      <c r="D261" s="89" t="str">
        <f>Source!G166</f>
        <v>Благоустройство внутридворовой территории</v>
      </c>
      <c r="E261" s="89"/>
      <c r="F261" s="89"/>
      <c r="G261" s="89"/>
      <c r="H261" s="89"/>
      <c r="I261" s="89"/>
      <c r="J261" s="89"/>
      <c r="K261" s="89"/>
    </row>
    <row r="262" spans="3:12" ht="18">
      <c r="C262" s="86" t="str">
        <f>Source!H181</f>
        <v>Итого</v>
      </c>
      <c r="D262" s="86"/>
      <c r="E262" s="86"/>
      <c r="F262" s="86"/>
      <c r="G262" s="86"/>
      <c r="H262" s="86"/>
      <c r="I262" s="86"/>
      <c r="J262" s="87">
        <f>Source!F181</f>
        <v>490199.37</v>
      </c>
      <c r="K262" s="88"/>
      <c r="L262" s="48"/>
    </row>
    <row r="263" spans="3:12" ht="18">
      <c r="C263" s="86" t="str">
        <f>Source!H182</f>
        <v>НДС 18%</v>
      </c>
      <c r="D263" s="86"/>
      <c r="E263" s="86"/>
      <c r="F263" s="86"/>
      <c r="G263" s="86"/>
      <c r="H263" s="86"/>
      <c r="I263" s="86"/>
      <c r="J263" s="87">
        <f>Source!F182</f>
        <v>88235.89</v>
      </c>
      <c r="K263" s="88"/>
      <c r="L263" s="48"/>
    </row>
    <row r="264" spans="3:12" ht="18">
      <c r="C264" s="86" t="str">
        <f>Source!H183</f>
        <v>ВСЕГО</v>
      </c>
      <c r="D264" s="86"/>
      <c r="E264" s="86"/>
      <c r="F264" s="86"/>
      <c r="G264" s="86"/>
      <c r="H264" s="86"/>
      <c r="I264" s="86"/>
      <c r="J264" s="87">
        <f>Source!F183</f>
        <v>578435.26</v>
      </c>
      <c r="K264" s="88"/>
      <c r="L264" s="48"/>
    </row>
    <row r="266" spans="3:12" s="46" customFormat="1" ht="18">
      <c r="C266" s="46" t="s">
        <v>437</v>
      </c>
      <c r="G266" s="90">
        <f>SUM(M1:M266)</f>
        <v>47576.31</v>
      </c>
      <c r="H266" s="90"/>
      <c r="J266" s="90">
        <f>ROUND(Source!O18+Source!X18+Source!Y18+Source!R18*0/100,2)</f>
        <v>490199.37</v>
      </c>
      <c r="K266" s="90"/>
      <c r="L266" s="47">
        <f>Source!U18</f>
        <v>700.1</v>
      </c>
    </row>
    <row r="268" spans="1:8" ht="12.75">
      <c r="A268" t="s">
        <v>465</v>
      </c>
      <c r="C268" s="51" t="str">
        <f>IF(Source!AS12&lt;&gt;"",Source!AS12," ")</f>
        <v> </v>
      </c>
      <c r="D268" s="51"/>
      <c r="E268" s="51"/>
      <c r="F268" s="51"/>
      <c r="G268" s="51"/>
      <c r="H268" t="str">
        <f>IF(Source!M12&lt;&gt;"",Source!M12," ")</f>
        <v> </v>
      </c>
    </row>
    <row r="269" spans="3:7" s="5" customFormat="1" ht="11.25">
      <c r="C269" s="85" t="s">
        <v>439</v>
      </c>
      <c r="D269" s="85"/>
      <c r="E269" s="85"/>
      <c r="F269" s="85"/>
      <c r="G269" s="85"/>
    </row>
    <row r="271" spans="1:8" ht="12.75">
      <c r="A271" t="s">
        <v>466</v>
      </c>
      <c r="C271" s="51" t="str">
        <f>IF(Source!AR12&lt;&gt;"",Source!AR12," ")</f>
        <v> </v>
      </c>
      <c r="D271" s="51"/>
      <c r="E271" s="51"/>
      <c r="F271" s="51"/>
      <c r="G271" s="51"/>
      <c r="H271" t="str">
        <f>IF(Source!L12&lt;&gt;"",Source!L12," ")</f>
        <v> </v>
      </c>
    </row>
    <row r="272" spans="3:7" s="5" customFormat="1" ht="11.25">
      <c r="C272" s="85" t="s">
        <v>439</v>
      </c>
      <c r="D272" s="85"/>
      <c r="E272" s="85"/>
      <c r="F272" s="85"/>
      <c r="G272" s="85"/>
    </row>
  </sheetData>
  <sheetProtection/>
  <mergeCells count="59">
    <mergeCell ref="A1:D1"/>
    <mergeCell ref="H1:L1"/>
    <mergeCell ref="H2:L2"/>
    <mergeCell ref="H3:L3"/>
    <mergeCell ref="K5:L5"/>
    <mergeCell ref="K6:L6"/>
    <mergeCell ref="A7:B7"/>
    <mergeCell ref="C7:I7"/>
    <mergeCell ref="K7:L7"/>
    <mergeCell ref="A8:B8"/>
    <mergeCell ref="C8:I8"/>
    <mergeCell ref="K8:L8"/>
    <mergeCell ref="A9:B9"/>
    <mergeCell ref="C9:I9"/>
    <mergeCell ref="K9:L9"/>
    <mergeCell ref="A10:B10"/>
    <mergeCell ref="C10:I10"/>
    <mergeCell ref="K10:L10"/>
    <mergeCell ref="A11:B11"/>
    <mergeCell ref="C11:I11"/>
    <mergeCell ref="K11:L11"/>
    <mergeCell ref="F12:I12"/>
    <mergeCell ref="K12:L12"/>
    <mergeCell ref="F13:I13"/>
    <mergeCell ref="K13:L13"/>
    <mergeCell ref="K14:L14"/>
    <mergeCell ref="F17:G18"/>
    <mergeCell ref="F19:G19"/>
    <mergeCell ref="H17:I18"/>
    <mergeCell ref="H19:I19"/>
    <mergeCell ref="K17:L17"/>
    <mergeCell ref="A22:L22"/>
    <mergeCell ref="A24:I24"/>
    <mergeCell ref="D31:L31"/>
    <mergeCell ref="D33:L33"/>
    <mergeCell ref="J116:K116"/>
    <mergeCell ref="G116:H116"/>
    <mergeCell ref="D118:L118"/>
    <mergeCell ref="J168:K168"/>
    <mergeCell ref="G168:H168"/>
    <mergeCell ref="D170:L170"/>
    <mergeCell ref="J201:K201"/>
    <mergeCell ref="G201:H201"/>
    <mergeCell ref="D203:L203"/>
    <mergeCell ref="J256:K256"/>
    <mergeCell ref="G256:H256"/>
    <mergeCell ref="J259:K259"/>
    <mergeCell ref="G259:H259"/>
    <mergeCell ref="D261:K261"/>
    <mergeCell ref="J266:K266"/>
    <mergeCell ref="G266:H266"/>
    <mergeCell ref="C269:G269"/>
    <mergeCell ref="C272:G272"/>
    <mergeCell ref="C262:I262"/>
    <mergeCell ref="J262:K262"/>
    <mergeCell ref="C263:I263"/>
    <mergeCell ref="J263:K263"/>
    <mergeCell ref="C264:I264"/>
    <mergeCell ref="J264:K264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1"/>
  <sheetViews>
    <sheetView tabSelected="1" zoomScale="85" zoomScaleNormal="85" zoomScalePageLayoutView="0" workbookViewId="0" topLeftCell="A1">
      <selection activeCell="AA31" sqref="AA3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1.57421875" style="0" customWidth="1"/>
    <col min="7" max="7" width="11.28125" style="0" customWidth="1"/>
    <col min="8" max="8" width="11.7109375" style="0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90.7109375" style="0" hidden="1" customWidth="1"/>
    <col min="31" max="31" width="0" style="0" hidden="1" customWidth="1"/>
  </cols>
  <sheetData>
    <row r="1" s="5" customFormat="1" ht="11.25">
      <c r="A1" s="5" t="str">
        <f>Source!B1</f>
        <v>Smeta.ru  (495) 974-1589</v>
      </c>
    </row>
    <row r="3" spans="1:9" s="6" customFormat="1" ht="15">
      <c r="A3" s="6" t="s">
        <v>373</v>
      </c>
      <c r="F3" s="113" t="s">
        <v>374</v>
      </c>
      <c r="G3" s="113"/>
      <c r="H3" s="113"/>
      <c r="I3" s="113"/>
    </row>
    <row r="5" spans="1:11" ht="12.75">
      <c r="A5" s="114">
        <f>Source!AS12</f>
      </c>
      <c r="B5" s="114"/>
      <c r="C5" s="114">
        <f>Source!CH12</f>
      </c>
      <c r="D5" s="114"/>
      <c r="E5" s="7"/>
      <c r="F5" s="114">
        <f>Source!AR12</f>
      </c>
      <c r="G5" s="114"/>
      <c r="H5" s="114"/>
      <c r="I5" s="114">
        <f>Source!CG12</f>
      </c>
      <c r="J5" s="114"/>
      <c r="K5" s="114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114">
        <f>Source!M12</f>
      </c>
      <c r="D7" s="114"/>
      <c r="E7" s="7"/>
      <c r="F7" s="8"/>
      <c r="G7" s="8"/>
      <c r="H7" s="114">
        <f>Source!L12</f>
      </c>
      <c r="I7" s="114"/>
      <c r="J7" s="114"/>
      <c r="K7" s="114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6" customFormat="1" ht="15">
      <c r="A9" s="6" t="s">
        <v>375</v>
      </c>
      <c r="F9" s="6" t="s">
        <v>375</v>
      </c>
    </row>
    <row r="11" spans="1:30" ht="20.25">
      <c r="A11" s="115" t="s">
        <v>483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AD11" s="9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2" spans="1:12" ht="12.75">
      <c r="A12" s="116" t="s">
        <v>376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4" spans="7:12" ht="13.5" hidden="1">
      <c r="G14" s="118" t="s">
        <v>377</v>
      </c>
      <c r="H14" s="119"/>
      <c r="I14" s="120" t="str">
        <f>Source!F12</f>
        <v>Новый объект</v>
      </c>
      <c r="J14" s="92"/>
      <c r="K14" s="92"/>
      <c r="L14" s="92"/>
    </row>
    <row r="16" spans="1:30" ht="20.25">
      <c r="A16" s="112" t="s">
        <v>484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AD16" s="11" t="s">
        <v>378</v>
      </c>
    </row>
    <row r="19" spans="1:30" ht="23.25" customHeight="1">
      <c r="A19" s="4" t="s">
        <v>379</v>
      </c>
      <c r="B19" s="124" t="s">
        <v>486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AD19" s="13" t="str">
        <f>IF(Source!G12&lt;&gt;"",Source!G12,Source!F12)</f>
        <v>Благоустройство внутридворовой территории</v>
      </c>
    </row>
    <row r="20" spans="2:12" ht="12.75">
      <c r="B20" s="116" t="s">
        <v>380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2" spans="1:30" ht="15">
      <c r="A22" s="120" t="str">
        <f>CONCATENATE("Основание: ",Source!J12)</f>
        <v>Основание: 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AD22" s="10" t="str">
        <f>CONCATENATE("Основание: ",Source!J12)</f>
        <v>Основание: </v>
      </c>
    </row>
    <row r="24" spans="5:10" ht="12.75">
      <c r="E24" s="4"/>
      <c r="F24" s="4"/>
      <c r="G24" s="4"/>
      <c r="H24" s="4"/>
      <c r="I24" s="4"/>
      <c r="J24" s="4"/>
    </row>
    <row r="25" spans="5:10" ht="12.75">
      <c r="E25" s="15"/>
      <c r="F25" s="15"/>
      <c r="G25" s="125" t="s">
        <v>381</v>
      </c>
      <c r="H25" s="125"/>
      <c r="I25" s="125" t="s">
        <v>382</v>
      </c>
      <c r="J25" s="125"/>
    </row>
    <row r="26" spans="3:12" ht="15.75">
      <c r="C26" s="121" t="s">
        <v>383</v>
      </c>
      <c r="D26" s="121"/>
      <c r="E26" s="121"/>
      <c r="F26" s="121"/>
      <c r="G26" s="122">
        <f>G275/1000</f>
        <v>47.57631</v>
      </c>
      <c r="H26" s="122"/>
      <c r="I26" s="122">
        <f>(Source!F183/1000)</f>
        <v>578.43526</v>
      </c>
      <c r="J26" s="122"/>
      <c r="K26" s="123" t="s">
        <v>384</v>
      </c>
      <c r="L26" s="123"/>
    </row>
    <row r="27" spans="3:12" ht="15">
      <c r="C27" s="105" t="s">
        <v>385</v>
      </c>
      <c r="D27" s="105"/>
      <c r="E27" s="105"/>
      <c r="F27" s="105"/>
      <c r="G27" s="122">
        <f>O275/1000</f>
        <v>47.49213134850001</v>
      </c>
      <c r="H27" s="122"/>
      <c r="I27" s="122">
        <f>S275/1000</f>
        <v>489.5559100000001</v>
      </c>
      <c r="J27" s="122"/>
      <c r="K27" s="123" t="s">
        <v>384</v>
      </c>
      <c r="L27" s="123"/>
    </row>
    <row r="28" spans="3:12" ht="15">
      <c r="C28" s="105" t="s">
        <v>386</v>
      </c>
      <c r="D28" s="105"/>
      <c r="E28" s="105"/>
      <c r="F28" s="105"/>
      <c r="G28" s="122">
        <f>P275/1000</f>
        <v>0</v>
      </c>
      <c r="H28" s="122"/>
      <c r="I28" s="122">
        <f>T275/1000</f>
        <v>0</v>
      </c>
      <c r="J28" s="122"/>
      <c r="K28" s="123" t="s">
        <v>384</v>
      </c>
      <c r="L28" s="123"/>
    </row>
    <row r="29" spans="3:12" ht="15">
      <c r="C29" s="105" t="s">
        <v>387</v>
      </c>
      <c r="D29" s="105"/>
      <c r="E29" s="105"/>
      <c r="F29" s="105"/>
      <c r="G29" s="122">
        <f>Q275/1000</f>
        <v>0</v>
      </c>
      <c r="H29" s="122"/>
      <c r="I29" s="122">
        <f>U275/1000</f>
        <v>0</v>
      </c>
      <c r="J29" s="122"/>
      <c r="K29" s="123" t="s">
        <v>384</v>
      </c>
      <c r="L29" s="123"/>
    </row>
    <row r="30" spans="3:12" ht="15">
      <c r="C30" s="105" t="s">
        <v>388</v>
      </c>
      <c r="D30" s="105"/>
      <c r="E30" s="105"/>
      <c r="F30" s="105"/>
      <c r="G30" s="122">
        <f>R275/1000</f>
        <v>0.084178</v>
      </c>
      <c r="H30" s="122"/>
      <c r="I30" s="122">
        <f>V275/1000</f>
        <v>0.64346</v>
      </c>
      <c r="J30" s="122"/>
      <c r="K30" s="123" t="s">
        <v>384</v>
      </c>
      <c r="L30" s="123"/>
    </row>
    <row r="31" spans="3:12" ht="15.75">
      <c r="C31" s="121" t="s">
        <v>389</v>
      </c>
      <c r="D31" s="121"/>
      <c r="E31" s="121"/>
      <c r="F31" s="121"/>
      <c r="G31" s="122">
        <f>(Source!F176)</f>
        <v>700.1</v>
      </c>
      <c r="H31" s="122"/>
      <c r="I31" s="122">
        <f>(Source!F176)</f>
        <v>700.1</v>
      </c>
      <c r="J31" s="122"/>
      <c r="K31" s="123" t="s">
        <v>225</v>
      </c>
      <c r="L31" s="123"/>
    </row>
    <row r="32" spans="3:12" ht="15.75">
      <c r="C32" s="121" t="s">
        <v>390</v>
      </c>
      <c r="D32" s="121"/>
      <c r="E32" s="121"/>
      <c r="F32" s="121"/>
      <c r="G32" s="122">
        <f>(N275+W275)/1000</f>
        <v>6.9418999999999995</v>
      </c>
      <c r="H32" s="122"/>
      <c r="I32" s="122">
        <f>((Source!F174+Source!F173)/1000)</f>
        <v>123.84331999999999</v>
      </c>
      <c r="J32" s="122"/>
      <c r="K32" s="123" t="s">
        <v>384</v>
      </c>
      <c r="L32" s="123"/>
    </row>
    <row r="34" spans="1:6" ht="12.75">
      <c r="A34" s="126" t="s">
        <v>391</v>
      </c>
      <c r="B34" s="126"/>
      <c r="C34" s="126"/>
      <c r="D34" s="4"/>
      <c r="E34" s="4"/>
      <c r="F34" s="4"/>
    </row>
    <row r="35" spans="1:12" ht="15">
      <c r="A35" s="18"/>
      <c r="B35" s="18"/>
      <c r="C35" s="18"/>
      <c r="D35" s="18"/>
      <c r="E35" s="18"/>
      <c r="F35" s="19" t="s">
        <v>404</v>
      </c>
      <c r="G35" s="19" t="s">
        <v>408</v>
      </c>
      <c r="H35" s="19" t="s">
        <v>412</v>
      </c>
      <c r="I35" s="19" t="s">
        <v>416</v>
      </c>
      <c r="J35" s="19" t="s">
        <v>420</v>
      </c>
      <c r="K35" s="19" t="s">
        <v>412</v>
      </c>
      <c r="L35" s="20" t="s">
        <v>424</v>
      </c>
    </row>
    <row r="36" spans="1:12" ht="15">
      <c r="A36" s="21" t="s">
        <v>392</v>
      </c>
      <c r="B36" s="21" t="s">
        <v>394</v>
      </c>
      <c r="C36" s="22"/>
      <c r="D36" s="21" t="s">
        <v>399</v>
      </c>
      <c r="E36" s="21" t="s">
        <v>402</v>
      </c>
      <c r="F36" s="21" t="s">
        <v>405</v>
      </c>
      <c r="G36" s="21" t="s">
        <v>409</v>
      </c>
      <c r="H36" s="21" t="s">
        <v>413</v>
      </c>
      <c r="I36" s="21" t="s">
        <v>417</v>
      </c>
      <c r="J36" s="21" t="s">
        <v>411</v>
      </c>
      <c r="K36" s="21" t="s">
        <v>421</v>
      </c>
      <c r="L36" s="23" t="s">
        <v>425</v>
      </c>
    </row>
    <row r="37" spans="1:12" ht="15">
      <c r="A37" s="21" t="s">
        <v>393</v>
      </c>
      <c r="B37" s="21" t="s">
        <v>395</v>
      </c>
      <c r="C37" s="21" t="s">
        <v>398</v>
      </c>
      <c r="D37" s="21" t="s">
        <v>400</v>
      </c>
      <c r="E37" s="21" t="s">
        <v>403</v>
      </c>
      <c r="F37" s="21" t="s">
        <v>406</v>
      </c>
      <c r="G37" s="21" t="s">
        <v>410</v>
      </c>
      <c r="H37" s="21" t="s">
        <v>414</v>
      </c>
      <c r="I37" s="21" t="s">
        <v>418</v>
      </c>
      <c r="J37" s="21" t="s">
        <v>418</v>
      </c>
      <c r="K37" s="21" t="s">
        <v>422</v>
      </c>
      <c r="L37" s="23" t="s">
        <v>426</v>
      </c>
    </row>
    <row r="38" spans="1:12" ht="15">
      <c r="A38" s="22"/>
      <c r="B38" s="21" t="s">
        <v>396</v>
      </c>
      <c r="C38" s="22"/>
      <c r="D38" s="21" t="s">
        <v>401</v>
      </c>
      <c r="E38" s="22"/>
      <c r="F38" s="21" t="s">
        <v>407</v>
      </c>
      <c r="G38" s="21" t="s">
        <v>411</v>
      </c>
      <c r="H38" s="21" t="s">
        <v>415</v>
      </c>
      <c r="I38" s="21" t="s">
        <v>419</v>
      </c>
      <c r="J38" s="21" t="s">
        <v>419</v>
      </c>
      <c r="K38" s="21" t="s">
        <v>423</v>
      </c>
      <c r="L38" s="23"/>
    </row>
    <row r="39" spans="1:12" ht="15">
      <c r="A39" s="22"/>
      <c r="B39" s="21" t="s">
        <v>397</v>
      </c>
      <c r="C39" s="22"/>
      <c r="D39" s="22"/>
      <c r="E39" s="22"/>
      <c r="F39" s="22"/>
      <c r="G39" s="21"/>
      <c r="H39" s="21"/>
      <c r="I39" s="21"/>
      <c r="J39" s="21"/>
      <c r="K39" s="21"/>
      <c r="L39" s="23"/>
    </row>
    <row r="40" spans="1:12" ht="15">
      <c r="A40" s="24">
        <v>1</v>
      </c>
      <c r="B40" s="24">
        <v>2</v>
      </c>
      <c r="C40" s="24">
        <v>3</v>
      </c>
      <c r="D40" s="24">
        <v>4</v>
      </c>
      <c r="E40" s="24">
        <v>5</v>
      </c>
      <c r="F40" s="24">
        <v>6</v>
      </c>
      <c r="G40" s="24">
        <v>7</v>
      </c>
      <c r="H40" s="24">
        <v>8</v>
      </c>
      <c r="I40" s="24">
        <v>9</v>
      </c>
      <c r="J40" s="24">
        <v>10</v>
      </c>
      <c r="K40" s="24">
        <v>11</v>
      </c>
      <c r="L40" s="25">
        <v>12</v>
      </c>
    </row>
    <row r="42" spans="3:30" ht="18">
      <c r="C42" s="26" t="s">
        <v>428</v>
      </c>
      <c r="D42" s="89" t="str">
        <f>IF(Source!C12="1",Source!F24,Source!G24)</f>
        <v>Внутридворовая территория около д. 35</v>
      </c>
      <c r="E42" s="92"/>
      <c r="F42" s="92"/>
      <c r="G42" s="92"/>
      <c r="H42" s="92"/>
      <c r="I42" s="92"/>
      <c r="J42" s="92"/>
      <c r="K42" s="92"/>
      <c r="L42" s="92"/>
      <c r="AD42" s="28" t="str">
        <f>IF(Source!C12="1",Source!F24,Source!G24)</f>
        <v>Внутридворовая территория около д. 35</v>
      </c>
    </row>
    <row r="44" spans="1:12" ht="60">
      <c r="A44" s="29" t="str">
        <f>Source!E28</f>
        <v>1</v>
      </c>
      <c r="B44" s="29" t="str">
        <f>Source!F28</f>
        <v>68-33-4</v>
      </c>
      <c r="C44" s="30" t="str">
        <f>Source!G28</f>
        <v>Валка деревьев с корня без корчевки пня мягколиственных и твердолиственных пород при диаметре ствола: до 48 см</v>
      </c>
      <c r="D44" s="31" t="str">
        <f>Source!H28</f>
        <v>шт.</v>
      </c>
      <c r="E44" s="14">
        <f>ROUND(Source!I28,6)</f>
        <v>6</v>
      </c>
      <c r="F44" s="16">
        <f>IF(Source!AK28&lt;&gt;0,Source!AK28,Source!AL28+Source!AM28+Source!AO28)</f>
        <v>153.97</v>
      </c>
      <c r="G44" s="14"/>
      <c r="H44" s="14"/>
      <c r="I44" s="32" t="str">
        <f>IF(Source!BO28&lt;&gt;"",Source!BO28,"")</f>
        <v>68-33-4</v>
      </c>
      <c r="J44" s="14"/>
      <c r="K44" s="14"/>
      <c r="L44" s="14"/>
    </row>
    <row r="45" spans="1:12" ht="15">
      <c r="A45" s="14"/>
      <c r="B45" s="14"/>
      <c r="C45" s="14" t="s">
        <v>429</v>
      </c>
      <c r="D45" s="14"/>
      <c r="E45" s="14"/>
      <c r="F45" s="16">
        <f>Source!AO28</f>
        <v>120.99</v>
      </c>
      <c r="G45" s="32">
        <f>Source!DG28</f>
      </c>
      <c r="H45" s="16">
        <f>ROUND((Source!CT28/IF(Source!BA28&lt;&gt;0,Source!BA28,1)*Source!I28),2)</f>
        <v>725.94</v>
      </c>
      <c r="I45" s="14"/>
      <c r="J45" s="14">
        <f>Source!BA28</f>
        <v>17.84</v>
      </c>
      <c r="K45" s="16">
        <f>Source!S28</f>
        <v>12950.77</v>
      </c>
      <c r="L45" s="14"/>
    </row>
    <row r="46" spans="1:12" ht="15">
      <c r="A46" s="14"/>
      <c r="B46" s="14"/>
      <c r="C46" s="14" t="s">
        <v>107</v>
      </c>
      <c r="D46" s="14"/>
      <c r="E46" s="14"/>
      <c r="F46" s="16">
        <f>Source!AM28</f>
        <v>32.98</v>
      </c>
      <c r="G46" s="32">
        <f>Source!DE28</f>
      </c>
      <c r="H46" s="16">
        <f>ROUND((Source!CR28/IF(Source!BB28&lt;&gt;0,Source!BB28,1)*Source!I28),2)</f>
        <v>197.88</v>
      </c>
      <c r="I46" s="14"/>
      <c r="J46" s="14">
        <f>Source!BB28</f>
        <v>6.91</v>
      </c>
      <c r="K46" s="16">
        <f>Source!Q28</f>
        <v>1367.35</v>
      </c>
      <c r="L46" s="14"/>
    </row>
    <row r="47" spans="1:24" ht="15">
      <c r="A47" s="14"/>
      <c r="B47" s="14"/>
      <c r="C47" s="14" t="s">
        <v>430</v>
      </c>
      <c r="D47" s="17" t="s">
        <v>431</v>
      </c>
      <c r="E47" s="14"/>
      <c r="F47" s="16">
        <f>Source!BZ28</f>
        <v>104</v>
      </c>
      <c r="G47" s="14"/>
      <c r="H47" s="16">
        <f>X47</f>
        <v>754.98</v>
      </c>
      <c r="I47" s="14" t="str">
        <f>Source!FV28</f>
        <v>((*0.85))</v>
      </c>
      <c r="J47" s="16">
        <f>Source!AT28</f>
        <v>88</v>
      </c>
      <c r="K47" s="16">
        <f>Source!X28</f>
        <v>11396.68</v>
      </c>
      <c r="L47" s="14"/>
      <c r="X47">
        <f>ROUND((Source!FX28/100)*(ROUND((Source!CT28/IF(Source!BA28&lt;&gt;0,Source!BA28,1)*Source!I28),2)+ROUND((Source!CS28/IF(Source!BS28&lt;&gt;0,Source!BS28,1)*Source!I28),2)),2)</f>
        <v>754.98</v>
      </c>
    </row>
    <row r="48" spans="1:25" ht="15">
      <c r="A48" s="14"/>
      <c r="B48" s="14"/>
      <c r="C48" s="14" t="s">
        <v>123</v>
      </c>
      <c r="D48" s="17" t="s">
        <v>431</v>
      </c>
      <c r="E48" s="14"/>
      <c r="F48" s="16">
        <f>Source!CA28</f>
        <v>60</v>
      </c>
      <c r="G48" s="14"/>
      <c r="H48" s="16">
        <f>Y48</f>
        <v>435.56</v>
      </c>
      <c r="I48" s="14" t="str">
        <f>Source!FW28</f>
        <v>((*0.8))</v>
      </c>
      <c r="J48" s="16">
        <f>Source!AU28</f>
        <v>48</v>
      </c>
      <c r="K48" s="16">
        <f>Source!Y28</f>
        <v>6216.37</v>
      </c>
      <c r="L48" s="14"/>
      <c r="Y48">
        <f>ROUND((Source!FY28/100)*(ROUND((Source!CT28/IF(Source!BA28&lt;&gt;0,Source!BA28,1)*Source!I28),2)+ROUND((Source!CS28/IF(Source!BS28&lt;&gt;0,Source!BS28,1)*Source!I28),2)),2)</f>
        <v>435.56</v>
      </c>
    </row>
    <row r="49" spans="1:12" ht="15">
      <c r="A49" s="34"/>
      <c r="B49" s="34"/>
      <c r="C49" s="34" t="s">
        <v>432</v>
      </c>
      <c r="D49" s="35" t="s">
        <v>433</v>
      </c>
      <c r="E49" s="34">
        <f>Source!AQ28</f>
        <v>13.34</v>
      </c>
      <c r="F49" s="34"/>
      <c r="G49" s="36">
        <f>Source!DI28</f>
      </c>
      <c r="H49" s="34"/>
      <c r="I49" s="34"/>
      <c r="J49" s="34"/>
      <c r="K49" s="34"/>
      <c r="L49" s="37">
        <f>Source!U28</f>
        <v>80.03999999999999</v>
      </c>
    </row>
    <row r="50" spans="1:23" ht="15.75">
      <c r="A50" s="14"/>
      <c r="B50" s="14"/>
      <c r="C50" s="14"/>
      <c r="D50" s="14"/>
      <c r="E50" s="14"/>
      <c r="F50" s="14"/>
      <c r="G50" s="14"/>
      <c r="H50" s="38">
        <f>ROUND((Source!CT28/IF(Source!BA28&lt;&gt;0,Source!BA28,1)*Source!I28),2)+ROUND((Source!CR28/IF(Source!BB28&lt;&gt;0,Source!BB28,1)*Source!I28),2)+H47+H48</f>
        <v>2114.36</v>
      </c>
      <c r="I50" s="39"/>
      <c r="J50" s="39"/>
      <c r="K50" s="38">
        <f>Source!S28+Source!Q28+K47+K48</f>
        <v>31931.170000000002</v>
      </c>
      <c r="L50" s="38">
        <f>Source!U28</f>
        <v>80.03999999999999</v>
      </c>
      <c r="M50" s="33">
        <f>H50</f>
        <v>2114.36</v>
      </c>
      <c r="N50">
        <f>ROUND((Source!CT28/IF(Source!BA28&lt;&gt;0,Source!BA28,1)*Source!I28),2)</f>
        <v>725.94</v>
      </c>
      <c r="O50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2114.3616</v>
      </c>
      <c r="P50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50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50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50">
        <f>IF(Source!BI28=1,Source!O28+Source!X28+Source!Y28,0)</f>
        <v>31931.170000000002</v>
      </c>
      <c r="T50">
        <f>IF(Source!BI28=2,Source!O28+Source!X28+Source!Y28,0)</f>
        <v>0</v>
      </c>
      <c r="U50">
        <f>IF(Source!BI28=3,Source!O28+Source!X28+Source!Y28,0)</f>
        <v>0</v>
      </c>
      <c r="V50">
        <f>IF(Source!BI28=4,Source!O28+Source!X28+Source!Y28,0)</f>
        <v>0</v>
      </c>
      <c r="W50">
        <f>ROUND((Source!CS28/IF(Source!BS28&lt;&gt;0,Source!BS28,1)*Source!I28),2)</f>
        <v>0</v>
      </c>
    </row>
    <row r="51" spans="1:12" ht="30">
      <c r="A51" s="29" t="str">
        <f>Source!E29</f>
        <v>2</v>
      </c>
      <c r="B51" s="29" t="str">
        <f>Source!F29</f>
        <v>68-2-2</v>
      </c>
      <c r="C51" s="30" t="str">
        <f>Source!G29</f>
        <v>Формовочная обрезка деревьев высотой: более 5 м</v>
      </c>
      <c r="D51" s="31" t="str">
        <f>Source!H29</f>
        <v>шт.</v>
      </c>
      <c r="E51" s="14">
        <f>ROUND(Source!I29,6)</f>
        <v>22</v>
      </c>
      <c r="F51" s="16">
        <f>IF(Source!AK29&lt;&gt;0,Source!AK29,Source!AL29+Source!AM29+Source!AO29)</f>
        <v>519.71</v>
      </c>
      <c r="G51" s="14"/>
      <c r="H51" s="14"/>
      <c r="I51" s="32" t="str">
        <f>IF(Source!BO29&lt;&gt;"",Source!BO29,"")</f>
        <v>68-2-2</v>
      </c>
      <c r="J51" s="14"/>
      <c r="K51" s="14"/>
      <c r="L51" s="14"/>
    </row>
    <row r="52" spans="1:12" ht="15">
      <c r="A52" s="14"/>
      <c r="B52" s="14"/>
      <c r="C52" s="14" t="s">
        <v>429</v>
      </c>
      <c r="D52" s="14"/>
      <c r="E52" s="14"/>
      <c r="F52" s="16">
        <f>Source!AO29</f>
        <v>17.51</v>
      </c>
      <c r="G52" s="32">
        <f>Source!DG29</f>
      </c>
      <c r="H52" s="16">
        <f>ROUND((Source!CT29/IF(Source!BA29&lt;&gt;0,Source!BA29,1)*Source!I29),2)</f>
        <v>385.22</v>
      </c>
      <c r="I52" s="14"/>
      <c r="J52" s="14">
        <f>Source!BA29</f>
        <v>17.84</v>
      </c>
      <c r="K52" s="16">
        <f>Source!S29</f>
        <v>6872.32</v>
      </c>
      <c r="L52" s="14"/>
    </row>
    <row r="53" spans="1:12" ht="15">
      <c r="A53" s="14"/>
      <c r="B53" s="14"/>
      <c r="C53" s="14" t="s">
        <v>107</v>
      </c>
      <c r="D53" s="14"/>
      <c r="E53" s="14"/>
      <c r="F53" s="16">
        <f>Source!AM29</f>
        <v>502.2</v>
      </c>
      <c r="G53" s="32">
        <f>Source!DE29</f>
      </c>
      <c r="H53" s="16">
        <f>ROUND((Source!CR29/IF(Source!BB29&lt;&gt;0,Source!BB29,1)*Source!I29),2)</f>
        <v>11048.4</v>
      </c>
      <c r="I53" s="14"/>
      <c r="J53" s="14">
        <f>Source!BB29</f>
        <v>7.81</v>
      </c>
      <c r="K53" s="16">
        <f>Source!Q29</f>
        <v>86288</v>
      </c>
      <c r="L53" s="14"/>
    </row>
    <row r="54" spans="1:12" ht="15">
      <c r="A54" s="14"/>
      <c r="B54" s="14"/>
      <c r="C54" s="14" t="s">
        <v>434</v>
      </c>
      <c r="D54" s="14"/>
      <c r="E54" s="14"/>
      <c r="F54" s="16">
        <f>Source!AN29</f>
        <v>28.68</v>
      </c>
      <c r="G54" s="32">
        <f>Source!DF29</f>
      </c>
      <c r="H54" s="40">
        <f>ROUND((Source!CS29/IF(Source!BS29&lt;&gt;0,Source!BS29,1)*Source!I29),2)</f>
        <v>630.96</v>
      </c>
      <c r="I54" s="14"/>
      <c r="J54" s="14">
        <f>Source!BS29</f>
        <v>17.84</v>
      </c>
      <c r="K54" s="40">
        <f>Source!R29</f>
        <v>11256.33</v>
      </c>
      <c r="L54" s="14"/>
    </row>
    <row r="55" spans="1:24" ht="15">
      <c r="A55" s="14"/>
      <c r="B55" s="14"/>
      <c r="C55" s="14" t="s">
        <v>430</v>
      </c>
      <c r="D55" s="17" t="s">
        <v>431</v>
      </c>
      <c r="E55" s="14"/>
      <c r="F55" s="16">
        <f>Source!BZ29</f>
        <v>104</v>
      </c>
      <c r="G55" s="14"/>
      <c r="H55" s="16">
        <f>X55</f>
        <v>1056.83</v>
      </c>
      <c r="I55" s="14" t="str">
        <f>Source!FV29</f>
        <v>((*0.85))</v>
      </c>
      <c r="J55" s="16">
        <f>Source!AT29</f>
        <v>88</v>
      </c>
      <c r="K55" s="16">
        <f>Source!X29</f>
        <v>15953.21</v>
      </c>
      <c r="L55" s="14"/>
      <c r="X55">
        <f>ROUND((Source!FX29/100)*(ROUND((Source!CT29/IF(Source!BA29&lt;&gt;0,Source!BA29,1)*Source!I29),2)+ROUND((Source!CS29/IF(Source!BS29&lt;&gt;0,Source!BS29,1)*Source!I29),2)),2)</f>
        <v>1056.83</v>
      </c>
    </row>
    <row r="56" spans="1:25" ht="15">
      <c r="A56" s="14"/>
      <c r="B56" s="14"/>
      <c r="C56" s="14" t="s">
        <v>123</v>
      </c>
      <c r="D56" s="17" t="s">
        <v>431</v>
      </c>
      <c r="E56" s="14"/>
      <c r="F56" s="16">
        <f>Source!CA29</f>
        <v>60</v>
      </c>
      <c r="G56" s="14"/>
      <c r="H56" s="16">
        <f>Y56</f>
        <v>609.71</v>
      </c>
      <c r="I56" s="14" t="str">
        <f>Source!FW29</f>
        <v>((*0.8))</v>
      </c>
      <c r="J56" s="16">
        <f>Source!AU29</f>
        <v>48</v>
      </c>
      <c r="K56" s="16">
        <f>Source!Y29</f>
        <v>8701.75</v>
      </c>
      <c r="L56" s="14"/>
      <c r="Y56">
        <f>ROUND((Source!FY29/100)*(ROUND((Source!CT29/IF(Source!BA29&lt;&gt;0,Source!BA29,1)*Source!I29),2)+ROUND((Source!CS29/IF(Source!BS29&lt;&gt;0,Source!BS29,1)*Source!I29),2)),2)</f>
        <v>609.71</v>
      </c>
    </row>
    <row r="57" spans="1:12" ht="15">
      <c r="A57" s="34"/>
      <c r="B57" s="34"/>
      <c r="C57" s="34" t="s">
        <v>432</v>
      </c>
      <c r="D57" s="35" t="s">
        <v>433</v>
      </c>
      <c r="E57" s="34">
        <f>Source!AQ29</f>
        <v>2.07</v>
      </c>
      <c r="F57" s="34"/>
      <c r="G57" s="36">
        <f>Source!DI29</f>
      </c>
      <c r="H57" s="34"/>
      <c r="I57" s="34"/>
      <c r="J57" s="34"/>
      <c r="K57" s="34"/>
      <c r="L57" s="37">
        <f>Source!U29</f>
        <v>45.54</v>
      </c>
    </row>
    <row r="58" spans="1:23" ht="15.75">
      <c r="A58" s="14"/>
      <c r="B58" s="14"/>
      <c r="C58" s="14"/>
      <c r="D58" s="14"/>
      <c r="E58" s="14"/>
      <c r="F58" s="14"/>
      <c r="G58" s="14"/>
      <c r="H58" s="38">
        <f>ROUND((Source!CT29/IF(Source!BA29&lt;&gt;0,Source!BA29,1)*Source!I29),2)+ROUND((Source!CR29/IF(Source!BB29&lt;&gt;0,Source!BB29,1)*Source!I29),2)+H55+H56</f>
        <v>13100.16</v>
      </c>
      <c r="I58" s="39"/>
      <c r="J58" s="39"/>
      <c r="K58" s="38">
        <f>Source!S29+Source!Q29+K55+K56</f>
        <v>117815.28</v>
      </c>
      <c r="L58" s="38">
        <f>Source!U29</f>
        <v>45.54</v>
      </c>
      <c r="M58" s="33">
        <f>H58</f>
        <v>13100.16</v>
      </c>
      <c r="N58">
        <f>ROUND((Source!CT29/IF(Source!BA29&lt;&gt;0,Source!BA29,1)*Source!I29),2)</f>
        <v>385.22</v>
      </c>
      <c r="O58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13100.1552</v>
      </c>
      <c r="P58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58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58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58">
        <f>IF(Source!BI29=1,Source!O29+Source!X29+Source!Y29,0)</f>
        <v>117815.28</v>
      </c>
      <c r="T58">
        <f>IF(Source!BI29=2,Source!O29+Source!X29+Source!Y29,0)</f>
        <v>0</v>
      </c>
      <c r="U58">
        <f>IF(Source!BI29=3,Source!O29+Source!X29+Source!Y29,0)</f>
        <v>0</v>
      </c>
      <c r="V58">
        <f>IF(Source!BI29=4,Source!O29+Source!X29+Source!Y29,0)</f>
        <v>0</v>
      </c>
      <c r="W58">
        <f>ROUND((Source!CS29/IF(Source!BS29&lt;&gt;0,Source!BS29,1)*Source!I29),2)</f>
        <v>630.96</v>
      </c>
    </row>
    <row r="59" spans="1:12" ht="15">
      <c r="A59" s="29" t="str">
        <f>Source!E30</f>
        <v>3</v>
      </c>
      <c r="B59" s="29" t="str">
        <f>Source!F30</f>
        <v>68-5-1</v>
      </c>
      <c r="C59" s="30" t="str">
        <f>Source!G30</f>
        <v>Вырезка кустарника</v>
      </c>
      <c r="D59" s="31" t="str">
        <f>Source!H30</f>
        <v>шт.</v>
      </c>
      <c r="E59" s="14">
        <f>ROUND(Source!I30,6)</f>
        <v>19</v>
      </c>
      <c r="F59" s="16">
        <f>IF(Source!AK30&lt;&gt;0,Source!AK30,Source!AL30+Source!AM30+Source!AO30)</f>
        <v>4.48</v>
      </c>
      <c r="G59" s="14"/>
      <c r="H59" s="14"/>
      <c r="I59" s="32" t="str">
        <f>IF(Source!BO30&lt;&gt;"",Source!BO30,"")</f>
        <v>68-5-1</v>
      </c>
      <c r="J59" s="14"/>
      <c r="K59" s="14"/>
      <c r="L59" s="14"/>
    </row>
    <row r="60" spans="1:12" ht="15">
      <c r="A60" s="14"/>
      <c r="B60" s="14"/>
      <c r="C60" s="14" t="s">
        <v>429</v>
      </c>
      <c r="D60" s="14"/>
      <c r="E60" s="14"/>
      <c r="F60" s="16">
        <f>Source!AO30</f>
        <v>4.48</v>
      </c>
      <c r="G60" s="32">
        <f>Source!DG30</f>
      </c>
      <c r="H60" s="16">
        <f>ROUND((Source!CT30/IF(Source!BA30&lt;&gt;0,Source!BA30,1)*Source!I30),2)</f>
        <v>85.12</v>
      </c>
      <c r="I60" s="14"/>
      <c r="J60" s="14">
        <f>Source!BA30</f>
        <v>17.84</v>
      </c>
      <c r="K60" s="16">
        <f>Source!S30</f>
        <v>1518.54</v>
      </c>
      <c r="L60" s="14"/>
    </row>
    <row r="61" spans="1:24" ht="15">
      <c r="A61" s="14"/>
      <c r="B61" s="14"/>
      <c r="C61" s="14" t="s">
        <v>430</v>
      </c>
      <c r="D61" s="17" t="s">
        <v>431</v>
      </c>
      <c r="E61" s="14"/>
      <c r="F61" s="16">
        <f>Source!BZ30</f>
        <v>104</v>
      </c>
      <c r="G61" s="14"/>
      <c r="H61" s="16">
        <f>X61</f>
        <v>88.52</v>
      </c>
      <c r="I61" s="14" t="str">
        <f>Source!FV30</f>
        <v>((*0.85))</v>
      </c>
      <c r="J61" s="16">
        <f>Source!AT30</f>
        <v>88</v>
      </c>
      <c r="K61" s="16">
        <f>Source!X30</f>
        <v>1336.32</v>
      </c>
      <c r="L61" s="14"/>
      <c r="X61">
        <f>ROUND((Source!FX30/100)*(ROUND((Source!CT30/IF(Source!BA30&lt;&gt;0,Source!BA30,1)*Source!I30),2)+ROUND((Source!CS30/IF(Source!BS30&lt;&gt;0,Source!BS30,1)*Source!I30),2)),2)</f>
        <v>88.52</v>
      </c>
    </row>
    <row r="62" spans="1:25" ht="15">
      <c r="A62" s="14"/>
      <c r="B62" s="14"/>
      <c r="C62" s="14" t="s">
        <v>123</v>
      </c>
      <c r="D62" s="17" t="s">
        <v>431</v>
      </c>
      <c r="E62" s="14"/>
      <c r="F62" s="16">
        <f>Source!CA30</f>
        <v>60</v>
      </c>
      <c r="G62" s="14"/>
      <c r="H62" s="16">
        <f>Y62</f>
        <v>51.07</v>
      </c>
      <c r="I62" s="14" t="str">
        <f>Source!FW30</f>
        <v>((*0.8))</v>
      </c>
      <c r="J62" s="16">
        <f>Source!AU30</f>
        <v>48</v>
      </c>
      <c r="K62" s="16">
        <f>Source!Y30</f>
        <v>728.9</v>
      </c>
      <c r="L62" s="14"/>
      <c r="Y62">
        <f>ROUND((Source!FY30/100)*(ROUND((Source!CT30/IF(Source!BA30&lt;&gt;0,Source!BA30,1)*Source!I30),2)+ROUND((Source!CS30/IF(Source!BS30&lt;&gt;0,Source!BS30,1)*Source!I30),2)),2)</f>
        <v>51.07</v>
      </c>
    </row>
    <row r="63" spans="1:12" ht="15">
      <c r="A63" s="34"/>
      <c r="B63" s="34"/>
      <c r="C63" s="34" t="s">
        <v>432</v>
      </c>
      <c r="D63" s="35" t="s">
        <v>433</v>
      </c>
      <c r="E63" s="34">
        <f>Source!AQ30</f>
        <v>0.53</v>
      </c>
      <c r="F63" s="34"/>
      <c r="G63" s="36">
        <f>Source!DI30</f>
      </c>
      <c r="H63" s="34"/>
      <c r="I63" s="34"/>
      <c r="J63" s="34"/>
      <c r="K63" s="34"/>
      <c r="L63" s="37">
        <f>Source!U30</f>
        <v>10.07</v>
      </c>
    </row>
    <row r="64" spans="1:23" ht="15.75">
      <c r="A64" s="14"/>
      <c r="B64" s="14"/>
      <c r="C64" s="14"/>
      <c r="D64" s="14"/>
      <c r="E64" s="14"/>
      <c r="F64" s="14"/>
      <c r="G64" s="14"/>
      <c r="H64" s="38">
        <f>ROUND((Source!CT30/IF(Source!BA30&lt;&gt;0,Source!BA30,1)*Source!I30),2)+ROUND((Source!CR30/IF(Source!BB30&lt;&gt;0,Source!BB30,1)*Source!I30),2)+H61+H62</f>
        <v>224.70999999999998</v>
      </c>
      <c r="I64" s="39"/>
      <c r="J64" s="39"/>
      <c r="K64" s="38">
        <f>Source!S30+Source!Q30+K61+K62</f>
        <v>3583.7599999999998</v>
      </c>
      <c r="L64" s="38">
        <f>Source!U30</f>
        <v>10.07</v>
      </c>
      <c r="M64" s="33">
        <f>H64</f>
        <v>224.70999999999998</v>
      </c>
      <c r="N64">
        <f>ROUND((Source!CT30/IF(Source!BA30&lt;&gt;0,Source!BA30,1)*Source!I30),2)</f>
        <v>85.12</v>
      </c>
      <c r="O64">
        <f>IF(Source!BI30=1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224.71680000000003</v>
      </c>
      <c r="P64">
        <f>IF(Source!BI30=2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Q64">
        <f>IF(Source!BI30=3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R64">
        <f>IF(Source!BI30=4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S64">
        <f>IF(Source!BI30=1,Source!O30+Source!X30+Source!Y30,0)</f>
        <v>3583.7599999999998</v>
      </c>
      <c r="T64">
        <f>IF(Source!BI30=2,Source!O30+Source!X30+Source!Y30,0)</f>
        <v>0</v>
      </c>
      <c r="U64">
        <f>IF(Source!BI30=3,Source!O30+Source!X30+Source!Y30,0)</f>
        <v>0</v>
      </c>
      <c r="V64">
        <f>IF(Source!BI30=4,Source!O30+Source!X30+Source!Y30,0)</f>
        <v>0</v>
      </c>
      <c r="W64">
        <f>ROUND((Source!CS30/IF(Source!BS30&lt;&gt;0,Source!BS30,1)*Source!I30),2)</f>
        <v>0</v>
      </c>
    </row>
    <row r="65" spans="1:12" ht="30">
      <c r="A65" s="29" t="str">
        <f>Source!E31</f>
        <v>4</v>
      </c>
      <c r="B65" s="29" t="str">
        <f>Source!F31</f>
        <v>Техчасть индексов</v>
      </c>
      <c r="C65" s="30" t="str">
        <f>Source!G31</f>
        <v>Погрузка  вручную</v>
      </c>
      <c r="D65" s="31" t="str">
        <f>Source!H31</f>
        <v>т</v>
      </c>
      <c r="E65" s="14">
        <f>ROUND(Source!I31,6)</f>
        <v>1.5</v>
      </c>
      <c r="F65" s="16">
        <f>IF(Source!AK31&lt;&gt;0,Source!AK31,Source!AL31+Source!AM31+Source!AO31)</f>
        <v>4.15</v>
      </c>
      <c r="G65" s="14"/>
      <c r="H65" s="14"/>
      <c r="I65" s="32">
        <f>IF(Source!BO31&lt;&gt;"",Source!BO31,"")</f>
      </c>
      <c r="J65" s="14"/>
      <c r="K65" s="14"/>
      <c r="L65" s="14"/>
    </row>
    <row r="66" spans="1:12" ht="15">
      <c r="A66" s="14"/>
      <c r="B66" s="14"/>
      <c r="C66" s="14" t="s">
        <v>429</v>
      </c>
      <c r="D66" s="14"/>
      <c r="E66" s="14"/>
      <c r="F66" s="16">
        <f>Source!AO31</f>
        <v>4.15</v>
      </c>
      <c r="G66" s="32">
        <f>Source!DG31</f>
      </c>
      <c r="H66" s="16">
        <f>ROUND((Source!CT31/IF(Source!BA31&lt;&gt;0,Source!BA31,1)*Source!I31),2)</f>
        <v>6.23</v>
      </c>
      <c r="I66" s="14"/>
      <c r="J66" s="14">
        <f>Source!BA31</f>
        <v>17.84</v>
      </c>
      <c r="K66" s="16">
        <f>Source!S31</f>
        <v>111.05</v>
      </c>
      <c r="L66" s="14"/>
    </row>
    <row r="67" spans="1:24" ht="15">
      <c r="A67" s="14"/>
      <c r="B67" s="14"/>
      <c r="C67" s="14" t="s">
        <v>430</v>
      </c>
      <c r="D67" s="17" t="s">
        <v>431</v>
      </c>
      <c r="E67" s="14"/>
      <c r="F67" s="16">
        <f>Source!BZ31</f>
        <v>100</v>
      </c>
      <c r="G67" s="14"/>
      <c r="H67" s="16">
        <f>X67</f>
        <v>6.23</v>
      </c>
      <c r="I67" s="14" t="str">
        <f>Source!FV31</f>
        <v>((*0.85))</v>
      </c>
      <c r="J67" s="16">
        <f>Source!AT31</f>
        <v>85</v>
      </c>
      <c r="K67" s="16">
        <f>Source!X31</f>
        <v>94.39</v>
      </c>
      <c r="L67" s="14"/>
      <c r="X67">
        <f>ROUND((Source!FX31/100)*(ROUND((Source!CT31/IF(Source!BA31&lt;&gt;0,Source!BA31,1)*Source!I31),2)+ROUND((Source!CS31/IF(Source!BS31&lt;&gt;0,Source!BS31,1)*Source!I31),2)),2)</f>
        <v>6.23</v>
      </c>
    </row>
    <row r="68" spans="1:25" ht="15">
      <c r="A68" s="34"/>
      <c r="B68" s="34"/>
      <c r="C68" s="34" t="s">
        <v>123</v>
      </c>
      <c r="D68" s="35" t="s">
        <v>431</v>
      </c>
      <c r="E68" s="34"/>
      <c r="F68" s="37">
        <f>Source!CA31</f>
        <v>60</v>
      </c>
      <c r="G68" s="34"/>
      <c r="H68" s="37">
        <f>Y68</f>
        <v>3.74</v>
      </c>
      <c r="I68" s="34" t="str">
        <f>Source!FW31</f>
        <v>((*0.8))</v>
      </c>
      <c r="J68" s="37">
        <f>Source!AU31</f>
        <v>48</v>
      </c>
      <c r="K68" s="37">
        <f>Source!Y31</f>
        <v>53.3</v>
      </c>
      <c r="L68" s="34"/>
      <c r="Y68">
        <f>ROUND((Source!FY31/100)*(ROUND((Source!CT31/IF(Source!BA31&lt;&gt;0,Source!BA31,1)*Source!I31),2)+ROUND((Source!CS31/IF(Source!BS31&lt;&gt;0,Source!BS31,1)*Source!I31),2)),2)</f>
        <v>3.74</v>
      </c>
    </row>
    <row r="69" spans="1:23" ht="15.75">
      <c r="A69" s="14"/>
      <c r="B69" s="14"/>
      <c r="C69" s="14"/>
      <c r="D69" s="14"/>
      <c r="E69" s="14"/>
      <c r="F69" s="14"/>
      <c r="G69" s="14"/>
      <c r="H69" s="38">
        <f>ROUND((Source!CT31/IF(Source!BA31&lt;&gt;0,Source!BA31,1)*Source!I31),2)+ROUND((Source!CR31/IF(Source!BB31&lt;&gt;0,Source!BB31,1)*Source!I31),2)+H67+H68</f>
        <v>16.200000000000003</v>
      </c>
      <c r="I69" s="39"/>
      <c r="J69" s="39"/>
      <c r="K69" s="38">
        <f>Source!S31+Source!Q31+K67+K68</f>
        <v>258.74</v>
      </c>
      <c r="L69" s="38">
        <f>Source!U31</f>
        <v>0</v>
      </c>
      <c r="M69" s="33">
        <f>H69</f>
        <v>16.200000000000003</v>
      </c>
      <c r="N69">
        <f>ROUND((Source!CT31/IF(Source!BA31&lt;&gt;0,Source!BA31,1)*Source!I31),2)</f>
        <v>6.23</v>
      </c>
      <c r="O69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P69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69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69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16.185000000000002</v>
      </c>
      <c r="S69">
        <f>IF(Source!BI31=1,Source!O31+Source!X31+Source!Y31,0)</f>
        <v>0</v>
      </c>
      <c r="T69">
        <f>IF(Source!BI31=2,Source!O31+Source!X31+Source!Y31,0)</f>
        <v>0</v>
      </c>
      <c r="U69">
        <f>IF(Source!BI31=3,Source!O31+Source!X31+Source!Y31,0)</f>
        <v>0</v>
      </c>
      <c r="V69">
        <f>IF(Source!BI31=4,Source!O31+Source!X31+Source!Y31,0)</f>
        <v>258.74</v>
      </c>
      <c r="W69">
        <f>ROUND((Source!CS31/IF(Source!BS31&lt;&gt;0,Source!BS31,1)*Source!I31),2)</f>
        <v>0</v>
      </c>
    </row>
    <row r="70" spans="1:12" ht="30">
      <c r="A70" s="29" t="str">
        <f>Source!E32</f>
        <v>5</v>
      </c>
      <c r="B70" s="29" t="str">
        <f>Source!F32</f>
        <v>Техчасть индексов</v>
      </c>
      <c r="C70" s="30" t="str">
        <f>Source!G32</f>
        <v>Вывоз мусора на 10 км</v>
      </c>
      <c r="D70" s="31" t="str">
        <f>Source!H32</f>
        <v>т</v>
      </c>
      <c r="E70" s="14">
        <f>ROUND(Source!I32,6)</f>
        <v>1.5</v>
      </c>
      <c r="F70" s="16">
        <f>IF(Source!AK32&lt;&gt;0,Source!AK32,Source!AL32+Source!AM32+Source!AO32)</f>
        <v>14.63</v>
      </c>
      <c r="G70" s="14"/>
      <c r="H70" s="14"/>
      <c r="I70" s="32">
        <f>IF(Source!BO32&lt;&gt;"",Source!BO32,"")</f>
      </c>
      <c r="J70" s="14"/>
      <c r="K70" s="14"/>
      <c r="L70" s="14"/>
    </row>
    <row r="71" spans="1:12" ht="15">
      <c r="A71" s="34"/>
      <c r="B71" s="34"/>
      <c r="C71" s="34" t="s">
        <v>107</v>
      </c>
      <c r="D71" s="34"/>
      <c r="E71" s="34"/>
      <c r="F71" s="37">
        <f>Source!AM32</f>
        <v>14.63</v>
      </c>
      <c r="G71" s="36">
        <f>Source!DE32</f>
      </c>
      <c r="H71" s="37">
        <f>ROUND((Source!CR32/IF(Source!BB32&lt;&gt;0,Source!BB32,1)*Source!I32),2)</f>
        <v>21.95</v>
      </c>
      <c r="I71" s="34"/>
      <c r="J71" s="34">
        <f>Source!BB32</f>
        <v>5.32</v>
      </c>
      <c r="K71" s="37">
        <f>Source!Q32</f>
        <v>116.75</v>
      </c>
      <c r="L71" s="34"/>
    </row>
    <row r="72" spans="1:23" ht="15.75">
      <c r="A72" s="14"/>
      <c r="B72" s="14"/>
      <c r="C72" s="14"/>
      <c r="D72" s="14"/>
      <c r="E72" s="14"/>
      <c r="F72" s="14"/>
      <c r="G72" s="14"/>
      <c r="H72" s="38">
        <f>ROUND((Source!CT32/IF(Source!BA32&lt;&gt;0,Source!BA32,1)*Source!I32),2)+ROUND((Source!CR32/IF(Source!BB32&lt;&gt;0,Source!BB32,1)*Source!I32),2)</f>
        <v>21.95</v>
      </c>
      <c r="I72" s="39"/>
      <c r="J72" s="39"/>
      <c r="K72" s="38">
        <f>Source!S32+Source!Q32</f>
        <v>116.75</v>
      </c>
      <c r="L72" s="38">
        <f>Source!U32</f>
        <v>0</v>
      </c>
      <c r="M72" s="33">
        <f>H72</f>
        <v>21.95</v>
      </c>
      <c r="N72">
        <f>ROUND((Source!CT32/IF(Source!BA32&lt;&gt;0,Source!BA32,1)*Source!I32),2)</f>
        <v>0</v>
      </c>
      <c r="O72">
        <f>IF(Source!BI32=1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P72">
        <f>IF(Source!BI32=2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Q72">
        <f>IF(Source!BI32=3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R72">
        <f>IF(Source!BI32=4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21.945</v>
      </c>
      <c r="S72">
        <f>IF(Source!BI32=1,Source!O32+Source!X32+Source!Y32,0)</f>
        <v>0</v>
      </c>
      <c r="T72">
        <f>IF(Source!BI32=2,Source!O32+Source!X32+Source!Y32,0)</f>
        <v>0</v>
      </c>
      <c r="U72">
        <f>IF(Source!BI32=3,Source!O32+Source!X32+Source!Y32,0)</f>
        <v>0</v>
      </c>
      <c r="V72">
        <f>IF(Source!BI32=4,Source!O32+Source!X32+Source!Y32,0)</f>
        <v>116.75</v>
      </c>
      <c r="W72">
        <f>ROUND((Source!CS32/IF(Source!BS32&lt;&gt;0,Source!BS32,1)*Source!I32),2)</f>
        <v>0</v>
      </c>
    </row>
    <row r="73" spans="1:12" ht="45">
      <c r="A73" s="29" t="str">
        <f>Source!E33</f>
        <v>6</v>
      </c>
      <c r="B73" s="29" t="str">
        <f>Source!F33</f>
        <v>68-6-2</v>
      </c>
      <c r="C73" s="30" t="str">
        <f>Source!G33</f>
        <v>Омоложение живых изгородей: мягких с обрезкой побегов на пень до 100 %</v>
      </c>
      <c r="D73" s="31" t="str">
        <f>Source!H33</f>
        <v>м</v>
      </c>
      <c r="E73" s="14">
        <f>ROUND(Source!I33,6)</f>
        <v>199</v>
      </c>
      <c r="F73" s="16">
        <f>IF(Source!AK33&lt;&gt;0,Source!AK33,Source!AL33+Source!AM33+Source!AO33)</f>
        <v>1.92</v>
      </c>
      <c r="G73" s="14"/>
      <c r="H73" s="14"/>
      <c r="I73" s="32" t="str">
        <f>IF(Source!BO33&lt;&gt;"",Source!BO33,"")</f>
        <v>68-6-2</v>
      </c>
      <c r="J73" s="14"/>
      <c r="K73" s="14"/>
      <c r="L73" s="14"/>
    </row>
    <row r="74" spans="1:12" ht="15">
      <c r="A74" s="14"/>
      <c r="B74" s="14"/>
      <c r="C74" s="14" t="s">
        <v>429</v>
      </c>
      <c r="D74" s="14"/>
      <c r="E74" s="14"/>
      <c r="F74" s="16">
        <f>Source!AO33</f>
        <v>1.92</v>
      </c>
      <c r="G74" s="32">
        <f>Source!DG33</f>
      </c>
      <c r="H74" s="16">
        <f>ROUND((Source!CT33/IF(Source!BA33&lt;&gt;0,Source!BA33,1)*Source!I33),2)</f>
        <v>382.08</v>
      </c>
      <c r="I74" s="14"/>
      <c r="J74" s="14">
        <f>Source!BA33</f>
        <v>17.84</v>
      </c>
      <c r="K74" s="16">
        <f>Source!S33</f>
        <v>6816.31</v>
      </c>
      <c r="L74" s="14"/>
    </row>
    <row r="75" spans="1:24" ht="15">
      <c r="A75" s="14"/>
      <c r="B75" s="14"/>
      <c r="C75" s="14" t="s">
        <v>430</v>
      </c>
      <c r="D75" s="17" t="s">
        <v>431</v>
      </c>
      <c r="E75" s="14"/>
      <c r="F75" s="16">
        <f>Source!BZ33</f>
        <v>104</v>
      </c>
      <c r="G75" s="14"/>
      <c r="H75" s="16">
        <f>X75</f>
        <v>397.36</v>
      </c>
      <c r="I75" s="14" t="str">
        <f>Source!FV33</f>
        <v>((*0.85))</v>
      </c>
      <c r="J75" s="16">
        <f>Source!AT33</f>
        <v>88</v>
      </c>
      <c r="K75" s="16">
        <f>Source!X33</f>
        <v>5998.35</v>
      </c>
      <c r="L75" s="14"/>
      <c r="X75">
        <f>ROUND((Source!FX33/100)*(ROUND((Source!CT33/IF(Source!BA33&lt;&gt;0,Source!BA33,1)*Source!I33),2)+ROUND((Source!CS33/IF(Source!BS33&lt;&gt;0,Source!BS33,1)*Source!I33),2)),2)</f>
        <v>397.36</v>
      </c>
    </row>
    <row r="76" spans="1:25" ht="15">
      <c r="A76" s="14"/>
      <c r="B76" s="14"/>
      <c r="C76" s="14" t="s">
        <v>123</v>
      </c>
      <c r="D76" s="17" t="s">
        <v>431</v>
      </c>
      <c r="E76" s="14"/>
      <c r="F76" s="16">
        <f>Source!CA33</f>
        <v>60</v>
      </c>
      <c r="G76" s="14"/>
      <c r="H76" s="16">
        <f>Y76</f>
        <v>229.25</v>
      </c>
      <c r="I76" s="14" t="str">
        <f>Source!FW33</f>
        <v>((*0.8))</v>
      </c>
      <c r="J76" s="16">
        <f>Source!AU33</f>
        <v>48</v>
      </c>
      <c r="K76" s="16">
        <f>Source!Y33</f>
        <v>3271.83</v>
      </c>
      <c r="L76" s="14"/>
      <c r="Y76">
        <f>ROUND((Source!FY33/100)*(ROUND((Source!CT33/IF(Source!BA33&lt;&gt;0,Source!BA33,1)*Source!I33),2)+ROUND((Source!CS33/IF(Source!BS33&lt;&gt;0,Source!BS33,1)*Source!I33),2)),2)</f>
        <v>229.25</v>
      </c>
    </row>
    <row r="77" spans="1:12" ht="15">
      <c r="A77" s="34"/>
      <c r="B77" s="34"/>
      <c r="C77" s="34" t="s">
        <v>432</v>
      </c>
      <c r="D77" s="35" t="s">
        <v>433</v>
      </c>
      <c r="E77" s="34">
        <f>Source!AQ33</f>
        <v>0.25</v>
      </c>
      <c r="F77" s="34"/>
      <c r="G77" s="36">
        <f>Source!DI33</f>
      </c>
      <c r="H77" s="34"/>
      <c r="I77" s="34"/>
      <c r="J77" s="34"/>
      <c r="K77" s="34"/>
      <c r="L77" s="37">
        <f>Source!U33</f>
        <v>49.75</v>
      </c>
    </row>
    <row r="78" spans="1:23" ht="15.75">
      <c r="A78" s="14"/>
      <c r="B78" s="14"/>
      <c r="C78" s="14"/>
      <c r="D78" s="14"/>
      <c r="E78" s="14"/>
      <c r="F78" s="14"/>
      <c r="G78" s="14"/>
      <c r="H78" s="38">
        <f>ROUND((Source!CT33/IF(Source!BA33&lt;&gt;0,Source!BA33,1)*Source!I33),2)+ROUND((Source!CR33/IF(Source!BB33&lt;&gt;0,Source!BB33,1)*Source!I33),2)+H75+H76</f>
        <v>1008.69</v>
      </c>
      <c r="I78" s="39"/>
      <c r="J78" s="39"/>
      <c r="K78" s="38">
        <f>Source!S33+Source!Q33+K75+K76</f>
        <v>16086.49</v>
      </c>
      <c r="L78" s="38">
        <f>Source!U33</f>
        <v>49.75</v>
      </c>
      <c r="M78" s="33">
        <f>H78</f>
        <v>1008.69</v>
      </c>
      <c r="N78">
        <f>ROUND((Source!CT33/IF(Source!BA33&lt;&gt;0,Source!BA33,1)*Source!I33),2)</f>
        <v>382.08</v>
      </c>
      <c r="O78">
        <f>IF(Source!BI33=1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1008.6912000000002</v>
      </c>
      <c r="P78">
        <f>IF(Source!BI33=2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Q78">
        <f>IF(Source!BI33=3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R78">
        <f>IF(Source!BI33=4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S78">
        <f>IF(Source!BI33=1,Source!O33+Source!X33+Source!Y33,0)</f>
        <v>16086.49</v>
      </c>
      <c r="T78">
        <f>IF(Source!BI33=2,Source!O33+Source!X33+Source!Y33,0)</f>
        <v>0</v>
      </c>
      <c r="U78">
        <f>IF(Source!BI33=3,Source!O33+Source!X33+Source!Y33,0)</f>
        <v>0</v>
      </c>
      <c r="V78">
        <f>IF(Source!BI33=4,Source!O33+Source!X33+Source!Y33,0)</f>
        <v>0</v>
      </c>
      <c r="W78">
        <f>ROUND((Source!CS33/IF(Source!BS33&lt;&gt;0,Source!BS33,1)*Source!I33),2)</f>
        <v>0</v>
      </c>
    </row>
    <row r="79" spans="1:12" ht="30">
      <c r="A79" s="29" t="str">
        <f>Source!E34</f>
        <v>7</v>
      </c>
      <c r="B79" s="29" t="str">
        <f>Source!F34</f>
        <v>07-01-055-11</v>
      </c>
      <c r="C79" s="30" t="str">
        <f>Source!G34</f>
        <v>Демонтаж столбов</v>
      </c>
      <c r="D79" s="31" t="str">
        <f>Source!H34</f>
        <v>100 шт.</v>
      </c>
      <c r="E79" s="14">
        <f>ROUND(Source!I34,6)</f>
        <v>0.08</v>
      </c>
      <c r="F79" s="16">
        <f>IF(Source!AK34&lt;&gt;0,Source!AK34,Source!AL34+Source!AM34+Source!AO34)</f>
        <v>17168.37</v>
      </c>
      <c r="G79" s="14"/>
      <c r="H79" s="14"/>
      <c r="I79" s="32" t="str">
        <f>IF(Source!BO34&lt;&gt;"",Source!BO34,"")</f>
        <v>07-01-055-11</v>
      </c>
      <c r="J79" s="14"/>
      <c r="K79" s="14"/>
      <c r="L79" s="14"/>
    </row>
    <row r="80" spans="1:12" ht="15">
      <c r="A80" s="14"/>
      <c r="B80" s="14"/>
      <c r="C80" s="14" t="s">
        <v>429</v>
      </c>
      <c r="D80" s="14"/>
      <c r="E80" s="14"/>
      <c r="F80" s="16">
        <f>Source!AO34</f>
        <v>3952.45</v>
      </c>
      <c r="G80" s="32" t="str">
        <f>Source!DG34</f>
        <v>)*0,7</v>
      </c>
      <c r="H80" s="16">
        <f>ROUND((Source!CT34/IF(Source!BA34&lt;&gt;0,Source!BA34,1)*Source!I34),2)</f>
        <v>221.34</v>
      </c>
      <c r="I80" s="14"/>
      <c r="J80" s="14">
        <f>Source!BA34</f>
        <v>17.84</v>
      </c>
      <c r="K80" s="16">
        <f>Source!S34</f>
        <v>3948.66</v>
      </c>
      <c r="L80" s="14"/>
    </row>
    <row r="81" spans="1:12" ht="15">
      <c r="A81" s="14"/>
      <c r="B81" s="14"/>
      <c r="C81" s="14" t="s">
        <v>107</v>
      </c>
      <c r="D81" s="14"/>
      <c r="E81" s="14"/>
      <c r="F81" s="16">
        <f>Source!AM34</f>
        <v>12098.19</v>
      </c>
      <c r="G81" s="32" t="str">
        <f>Source!DE34</f>
        <v>)*0,7</v>
      </c>
      <c r="H81" s="16">
        <f>ROUND((Source!CR34/IF(Source!BB34&lt;&gt;0,Source!BB34,1)*Source!I34),2)</f>
        <v>677.5</v>
      </c>
      <c r="I81" s="14"/>
      <c r="J81" s="14">
        <f>Source!BB34</f>
        <v>7.2</v>
      </c>
      <c r="K81" s="16">
        <f>Source!Q34</f>
        <v>4877.99</v>
      </c>
      <c r="L81" s="14"/>
    </row>
    <row r="82" spans="1:12" ht="15">
      <c r="A82" s="14"/>
      <c r="B82" s="14"/>
      <c r="C82" s="14" t="s">
        <v>434</v>
      </c>
      <c r="D82" s="14"/>
      <c r="E82" s="14"/>
      <c r="F82" s="16">
        <f>Source!AN34</f>
        <v>1380.16</v>
      </c>
      <c r="G82" s="32" t="str">
        <f>Source!DF34</f>
        <v>)*0,7</v>
      </c>
      <c r="H82" s="40">
        <f>ROUND((Source!CS34/IF(Source!BS34&lt;&gt;0,Source!BS34,1)*Source!I34),2)</f>
        <v>77.29</v>
      </c>
      <c r="I82" s="14"/>
      <c r="J82" s="14">
        <f>Source!BS34</f>
        <v>17.84</v>
      </c>
      <c r="K82" s="40">
        <f>Source!R34</f>
        <v>1378.84</v>
      </c>
      <c r="L82" s="14"/>
    </row>
    <row r="83" spans="1:24" ht="15">
      <c r="A83" s="14"/>
      <c r="B83" s="14"/>
      <c r="C83" s="14" t="s">
        <v>430</v>
      </c>
      <c r="D83" s="17" t="s">
        <v>431</v>
      </c>
      <c r="E83" s="14"/>
      <c r="F83" s="16">
        <f>Source!BZ34</f>
        <v>130</v>
      </c>
      <c r="G83" s="14"/>
      <c r="H83" s="16">
        <f>X83</f>
        <v>388.22</v>
      </c>
      <c r="I83" s="14" t="str">
        <f>Source!FV34</f>
        <v>((*0.85))</v>
      </c>
      <c r="J83" s="16">
        <f>Source!AT34</f>
        <v>111</v>
      </c>
      <c r="K83" s="16">
        <f>Source!X34</f>
        <v>5913.53</v>
      </c>
      <c r="L83" s="14"/>
      <c r="X83">
        <f>ROUND((Source!FX34/100)*(ROUND((Source!CT34/IF(Source!BA34&lt;&gt;0,Source!BA34,1)*Source!I34),2)+ROUND((Source!CS34/IF(Source!BS34&lt;&gt;0,Source!BS34,1)*Source!I34),2)),2)</f>
        <v>388.22</v>
      </c>
    </row>
    <row r="84" spans="1:25" ht="15">
      <c r="A84" s="14"/>
      <c r="B84" s="14"/>
      <c r="C84" s="14" t="s">
        <v>123</v>
      </c>
      <c r="D84" s="17" t="s">
        <v>431</v>
      </c>
      <c r="E84" s="14"/>
      <c r="F84" s="16">
        <f>Source!CA34</f>
        <v>85</v>
      </c>
      <c r="G84" s="14"/>
      <c r="H84" s="16">
        <f>Y84</f>
        <v>253.84</v>
      </c>
      <c r="I84" s="14" t="str">
        <f>Source!FW34</f>
        <v>((*0.8))</v>
      </c>
      <c r="J84" s="16">
        <f>Source!AU34</f>
        <v>68</v>
      </c>
      <c r="K84" s="16">
        <f>Source!Y34</f>
        <v>3622.7</v>
      </c>
      <c r="L84" s="14"/>
      <c r="Y84">
        <f>ROUND((Source!FY34/100)*(ROUND((Source!CT34/IF(Source!BA34&lt;&gt;0,Source!BA34,1)*Source!I34),2)+ROUND((Source!CS34/IF(Source!BS34&lt;&gt;0,Source!BS34,1)*Source!I34),2)),2)</f>
        <v>253.84</v>
      </c>
    </row>
    <row r="85" spans="1:12" ht="15">
      <c r="A85" s="34"/>
      <c r="B85" s="34"/>
      <c r="C85" s="34" t="s">
        <v>432</v>
      </c>
      <c r="D85" s="35" t="s">
        <v>433</v>
      </c>
      <c r="E85" s="34">
        <f>Source!AQ34</f>
        <v>430.55</v>
      </c>
      <c r="F85" s="34"/>
      <c r="G85" s="36" t="str">
        <f>Source!DI34</f>
        <v>)*0,7</v>
      </c>
      <c r="H85" s="34"/>
      <c r="I85" s="34"/>
      <c r="J85" s="34"/>
      <c r="K85" s="34"/>
      <c r="L85" s="37">
        <f>Source!U34</f>
        <v>24.1108</v>
      </c>
    </row>
    <row r="86" spans="1:23" ht="15.75">
      <c r="A86" s="14"/>
      <c r="B86" s="14"/>
      <c r="C86" s="14"/>
      <c r="D86" s="14"/>
      <c r="E86" s="14"/>
      <c r="F86" s="14"/>
      <c r="G86" s="14"/>
      <c r="H86" s="38">
        <f>ROUND((Source!CT34/IF(Source!BA34&lt;&gt;0,Source!BA34,1)*Source!I34),2)+ROUND((Source!CR34/IF(Source!BB34&lt;&gt;0,Source!BB34,1)*Source!I34),2)+H83+H84</f>
        <v>1540.8999999999999</v>
      </c>
      <c r="I86" s="39"/>
      <c r="J86" s="39"/>
      <c r="K86" s="38">
        <f>Source!S34+Source!Q34+K83+K84</f>
        <v>18362.88</v>
      </c>
      <c r="L86" s="38">
        <f>Source!U34</f>
        <v>24.1108</v>
      </c>
      <c r="M86" s="33">
        <f>H86</f>
        <v>1540.8999999999999</v>
      </c>
      <c r="N86">
        <f>ROUND((Source!CT34/IF(Source!BA34&lt;&gt;0,Source!BA34,1)*Source!I34),2)</f>
        <v>221.34</v>
      </c>
      <c r="O86">
        <f>IF(Source!BI34=1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1540.8820839999998</v>
      </c>
      <c r="P86">
        <f>IF(Source!BI34=2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Q86">
        <f>IF(Source!BI34=3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R86">
        <f>IF(Source!BI34=4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S86">
        <f>IF(Source!BI34=1,Source!O34+Source!X34+Source!Y34,0)</f>
        <v>18362.88</v>
      </c>
      <c r="T86">
        <f>IF(Source!BI34=2,Source!O34+Source!X34+Source!Y34,0)</f>
        <v>0</v>
      </c>
      <c r="U86">
        <f>IF(Source!BI34=3,Source!O34+Source!X34+Source!Y34,0)</f>
        <v>0</v>
      </c>
      <c r="V86">
        <f>IF(Source!BI34=4,Source!O34+Source!X34+Source!Y34,0)</f>
        <v>0</v>
      </c>
      <c r="W86">
        <f>ROUND((Source!CS34/IF(Source!BS34&lt;&gt;0,Source!BS34,1)*Source!I34),2)</f>
        <v>77.29</v>
      </c>
    </row>
    <row r="87" spans="1:12" ht="30">
      <c r="A87" s="29" t="str">
        <f>Source!E35</f>
        <v>8</v>
      </c>
      <c r="B87" s="29" t="str">
        <f>Source!F35</f>
        <v>68-4-2</v>
      </c>
      <c r="C87" s="30" t="str">
        <f>Source!G35</f>
        <v>Выкашивание газонов: газонокосилкой</v>
      </c>
      <c r="D87" s="31" t="str">
        <f>Source!H35</f>
        <v>100 м2</v>
      </c>
      <c r="E87" s="14">
        <f>ROUND(Source!I35,6)</f>
        <v>35</v>
      </c>
      <c r="F87" s="16">
        <f>IF(Source!AK35&lt;&gt;0,Source!AK35,Source!AL35+Source!AM35+Source!AO35)</f>
        <v>20.09</v>
      </c>
      <c r="G87" s="14"/>
      <c r="H87" s="14"/>
      <c r="I87" s="32" t="str">
        <f>IF(Source!BO35&lt;&gt;"",Source!BO35,"")</f>
        <v>68-4-2</v>
      </c>
      <c r="J87" s="14"/>
      <c r="K87" s="14"/>
      <c r="L87" s="14"/>
    </row>
    <row r="88" spans="1:12" ht="15">
      <c r="A88" s="14"/>
      <c r="B88" s="14"/>
      <c r="C88" s="14" t="s">
        <v>429</v>
      </c>
      <c r="D88" s="14"/>
      <c r="E88" s="14"/>
      <c r="F88" s="16">
        <f>Source!AO35</f>
        <v>7.71</v>
      </c>
      <c r="G88" s="32">
        <f>Source!DG35</f>
      </c>
      <c r="H88" s="16">
        <f>ROUND((Source!CT35/IF(Source!BA35&lt;&gt;0,Source!BA35,1)*Source!I35),2)</f>
        <v>269.85</v>
      </c>
      <c r="I88" s="14"/>
      <c r="J88" s="14">
        <f>Source!BA35</f>
        <v>17.84</v>
      </c>
      <c r="K88" s="16">
        <f>Source!S35</f>
        <v>4814.12</v>
      </c>
      <c r="L88" s="14"/>
    </row>
    <row r="89" spans="1:12" ht="15">
      <c r="A89" s="14"/>
      <c r="B89" s="14"/>
      <c r="C89" s="14" t="s">
        <v>107</v>
      </c>
      <c r="D89" s="14"/>
      <c r="E89" s="14"/>
      <c r="F89" s="16">
        <f>Source!AM35</f>
        <v>12.38</v>
      </c>
      <c r="G89" s="32">
        <f>Source!DE35</f>
      </c>
      <c r="H89" s="16">
        <f>ROUND((Source!CR35/IF(Source!BB35&lt;&gt;0,Source!BB35,1)*Source!I35),2)</f>
        <v>433.3</v>
      </c>
      <c r="I89" s="14"/>
      <c r="J89" s="14">
        <f>Source!BB35</f>
        <v>5.88</v>
      </c>
      <c r="K89" s="16">
        <f>Source!Q35</f>
        <v>2547.8</v>
      </c>
      <c r="L89" s="14"/>
    </row>
    <row r="90" spans="1:24" ht="15">
      <c r="A90" s="14"/>
      <c r="B90" s="14"/>
      <c r="C90" s="14" t="s">
        <v>430</v>
      </c>
      <c r="D90" s="17" t="s">
        <v>431</v>
      </c>
      <c r="E90" s="14"/>
      <c r="F90" s="16">
        <f>Source!BZ35</f>
        <v>104</v>
      </c>
      <c r="G90" s="14"/>
      <c r="H90" s="16">
        <f>X90</f>
        <v>280.64</v>
      </c>
      <c r="I90" s="14" t="str">
        <f>Source!FV35</f>
        <v>((*0.85))</v>
      </c>
      <c r="J90" s="16">
        <f>Source!AT35</f>
        <v>88</v>
      </c>
      <c r="K90" s="16">
        <f>Source!X35</f>
        <v>4236.43</v>
      </c>
      <c r="L90" s="14"/>
      <c r="X90">
        <f>ROUND((Source!FX35/100)*(ROUND((Source!CT35/IF(Source!BA35&lt;&gt;0,Source!BA35,1)*Source!I35),2)+ROUND((Source!CS35/IF(Source!BS35&lt;&gt;0,Source!BS35,1)*Source!I35),2)),2)</f>
        <v>280.64</v>
      </c>
    </row>
    <row r="91" spans="1:25" ht="15">
      <c r="A91" s="14"/>
      <c r="B91" s="14"/>
      <c r="C91" s="14" t="s">
        <v>123</v>
      </c>
      <c r="D91" s="17" t="s">
        <v>431</v>
      </c>
      <c r="E91" s="14"/>
      <c r="F91" s="16">
        <f>Source!CA35</f>
        <v>60</v>
      </c>
      <c r="G91" s="14"/>
      <c r="H91" s="16">
        <f>Y91</f>
        <v>161.91</v>
      </c>
      <c r="I91" s="14" t="str">
        <f>Source!FW35</f>
        <v>((*0.8))</v>
      </c>
      <c r="J91" s="16">
        <f>Source!AU35</f>
        <v>48</v>
      </c>
      <c r="K91" s="16">
        <f>Source!Y35</f>
        <v>2310.78</v>
      </c>
      <c r="L91" s="14"/>
      <c r="Y91">
        <f>ROUND((Source!FY35/100)*(ROUND((Source!CT35/IF(Source!BA35&lt;&gt;0,Source!BA35,1)*Source!I35),2)+ROUND((Source!CS35/IF(Source!BS35&lt;&gt;0,Source!BS35,1)*Source!I35),2)),2)</f>
        <v>161.91</v>
      </c>
    </row>
    <row r="92" spans="1:12" ht="15">
      <c r="A92" s="34"/>
      <c r="B92" s="34"/>
      <c r="C92" s="34" t="s">
        <v>432</v>
      </c>
      <c r="D92" s="35" t="s">
        <v>433</v>
      </c>
      <c r="E92" s="34">
        <f>Source!AQ35</f>
        <v>0.98</v>
      </c>
      <c r="F92" s="34"/>
      <c r="G92" s="36">
        <f>Source!DI35</f>
      </c>
      <c r="H92" s="34"/>
      <c r="I92" s="34"/>
      <c r="J92" s="34"/>
      <c r="K92" s="34"/>
      <c r="L92" s="37">
        <f>Source!U35</f>
        <v>34.3</v>
      </c>
    </row>
    <row r="93" spans="1:23" ht="15.75">
      <c r="A93" s="14"/>
      <c r="B93" s="14"/>
      <c r="C93" s="14"/>
      <c r="D93" s="14"/>
      <c r="E93" s="14"/>
      <c r="F93" s="14"/>
      <c r="G93" s="14"/>
      <c r="H93" s="38">
        <f>ROUND((Source!CT35/IF(Source!BA35&lt;&gt;0,Source!BA35,1)*Source!I35),2)+ROUND((Source!CR35/IF(Source!BB35&lt;&gt;0,Source!BB35,1)*Source!I35),2)+H90+H91</f>
        <v>1145.7</v>
      </c>
      <c r="I93" s="39"/>
      <c r="J93" s="39"/>
      <c r="K93" s="38">
        <f>Source!S35+Source!Q35+K90+K91</f>
        <v>13909.130000000001</v>
      </c>
      <c r="L93" s="38">
        <f>Source!U35</f>
        <v>34.3</v>
      </c>
      <c r="M93" s="33">
        <f>H93</f>
        <v>1145.7</v>
      </c>
      <c r="N93">
        <f>ROUND((Source!CT35/IF(Source!BA35&lt;&gt;0,Source!BA35,1)*Source!I35),2)</f>
        <v>269.85</v>
      </c>
      <c r="O93">
        <f>IF(Source!BI35=1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1145.7040000000002</v>
      </c>
      <c r="P93">
        <f>IF(Source!BI35=2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Q93">
        <f>IF(Source!BI35=3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R93">
        <f>IF(Source!BI35=4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S93">
        <f>IF(Source!BI35=1,Source!O35+Source!X35+Source!Y35,0)</f>
        <v>13909.130000000001</v>
      </c>
      <c r="T93">
        <f>IF(Source!BI35=2,Source!O35+Source!X35+Source!Y35,0)</f>
        <v>0</v>
      </c>
      <c r="U93">
        <f>IF(Source!BI35=3,Source!O35+Source!X35+Source!Y35,0)</f>
        <v>0</v>
      </c>
      <c r="V93">
        <f>IF(Source!BI35=4,Source!O35+Source!X35+Source!Y35,0)</f>
        <v>0</v>
      </c>
      <c r="W93">
        <f>ROUND((Source!CS35/IF(Source!BS35&lt;&gt;0,Source!BS35,1)*Source!I35),2)</f>
        <v>0</v>
      </c>
    </row>
    <row r="94" spans="1:12" ht="60">
      <c r="A94" s="29" t="str">
        <f>Source!E36</f>
        <v>9</v>
      </c>
      <c r="B94" s="29" t="str">
        <f>Source!F36</f>
        <v>01-01-030-2</v>
      </c>
      <c r="C94" s="30" t="str">
        <f>Source!G36</f>
        <v>Разработка грунта с перемещением до 10 м бульдозерами мощностью 59 кВт (80 л.с.), группа грунтов 2</v>
      </c>
      <c r="D94" s="31" t="str">
        <f>Source!H36</f>
        <v>1000 м3</v>
      </c>
      <c r="E94" s="14">
        <f>ROUND(Source!I36,6)</f>
        <v>0.019</v>
      </c>
      <c r="F94" s="16">
        <f>IF(Source!AK36&lt;&gt;0,Source!AK36,Source!AL36+Source!AM36+Source!AO36)</f>
        <v>775.45</v>
      </c>
      <c r="G94" s="14"/>
      <c r="H94" s="14"/>
      <c r="I94" s="32" t="str">
        <f>IF(Source!BO36&lt;&gt;"",Source!BO36,"")</f>
        <v>01-01-030-2</v>
      </c>
      <c r="J94" s="14"/>
      <c r="K94" s="14"/>
      <c r="L94" s="14"/>
    </row>
    <row r="95" spans="1:12" ht="15">
      <c r="A95" s="14"/>
      <c r="B95" s="14"/>
      <c r="C95" s="14" t="s">
        <v>107</v>
      </c>
      <c r="D95" s="14"/>
      <c r="E95" s="14"/>
      <c r="F95" s="16">
        <f>Source!AM36</f>
        <v>775.45</v>
      </c>
      <c r="G95" s="32">
        <f>Source!DE36</f>
      </c>
      <c r="H95" s="16">
        <f>ROUND((Source!CR36/IF(Source!BB36&lt;&gt;0,Source!BB36,1)*Source!I36),2)</f>
        <v>14.73</v>
      </c>
      <c r="I95" s="14"/>
      <c r="J95" s="14">
        <f>Source!BB36</f>
        <v>11.01</v>
      </c>
      <c r="K95" s="16">
        <f>Source!Q36</f>
        <v>162.22</v>
      </c>
      <c r="L95" s="14"/>
    </row>
    <row r="96" spans="1:12" ht="15">
      <c r="A96" s="14"/>
      <c r="B96" s="14"/>
      <c r="C96" s="14" t="s">
        <v>434</v>
      </c>
      <c r="D96" s="14"/>
      <c r="E96" s="14"/>
      <c r="F96" s="16">
        <f>Source!AN36</f>
        <v>170.78</v>
      </c>
      <c r="G96" s="32">
        <f>Source!DF36</f>
      </c>
      <c r="H96" s="40">
        <f>ROUND((Source!CS36/IF(Source!BS36&lt;&gt;0,Source!BS36,1)*Source!I36),2)</f>
        <v>3.24</v>
      </c>
      <c r="I96" s="14"/>
      <c r="J96" s="14">
        <f>Source!BS36</f>
        <v>17.84</v>
      </c>
      <c r="K96" s="40">
        <f>Source!R36</f>
        <v>57.89</v>
      </c>
      <c r="L96" s="14"/>
    </row>
    <row r="97" spans="1:24" ht="15">
      <c r="A97" s="14"/>
      <c r="B97" s="14"/>
      <c r="C97" s="14" t="s">
        <v>430</v>
      </c>
      <c r="D97" s="17" t="s">
        <v>431</v>
      </c>
      <c r="E97" s="14"/>
      <c r="F97" s="16">
        <f>Source!BZ36</f>
        <v>95</v>
      </c>
      <c r="G97" s="14"/>
      <c r="H97" s="16">
        <f>X97</f>
        <v>3.08</v>
      </c>
      <c r="I97" s="14" t="str">
        <f>Source!FV36</f>
        <v>((*0.85))</v>
      </c>
      <c r="J97" s="16">
        <f>Source!AT36</f>
        <v>81</v>
      </c>
      <c r="K97" s="16">
        <f>Source!X36</f>
        <v>46.89</v>
      </c>
      <c r="L97" s="14"/>
      <c r="X97">
        <f>ROUND((Source!FX36/100)*(ROUND((Source!CT36/IF(Source!BA36&lt;&gt;0,Source!BA36,1)*Source!I36),2)+ROUND((Source!CS36/IF(Source!BS36&lt;&gt;0,Source!BS36,1)*Source!I36),2)),2)</f>
        <v>3.08</v>
      </c>
    </row>
    <row r="98" spans="1:25" ht="15">
      <c r="A98" s="34"/>
      <c r="B98" s="34"/>
      <c r="C98" s="34" t="s">
        <v>123</v>
      </c>
      <c r="D98" s="35" t="s">
        <v>431</v>
      </c>
      <c r="E98" s="34"/>
      <c r="F98" s="37">
        <f>Source!CA36</f>
        <v>50</v>
      </c>
      <c r="G98" s="34"/>
      <c r="H98" s="37">
        <f>Y98</f>
        <v>1.62</v>
      </c>
      <c r="I98" s="34" t="str">
        <f>Source!FW36</f>
        <v>((*0.8))</v>
      </c>
      <c r="J98" s="37">
        <f>Source!AU36</f>
        <v>40</v>
      </c>
      <c r="K98" s="37">
        <f>Source!Y36</f>
        <v>23.16</v>
      </c>
      <c r="L98" s="34"/>
      <c r="Y98">
        <f>ROUND((Source!FY36/100)*(ROUND((Source!CT36/IF(Source!BA36&lt;&gt;0,Source!BA36,1)*Source!I36),2)+ROUND((Source!CS36/IF(Source!BS36&lt;&gt;0,Source!BS36,1)*Source!I36),2)),2)</f>
        <v>1.62</v>
      </c>
    </row>
    <row r="99" spans="1:23" ht="15.75">
      <c r="A99" s="14"/>
      <c r="B99" s="14"/>
      <c r="C99" s="14"/>
      <c r="D99" s="14"/>
      <c r="E99" s="14"/>
      <c r="F99" s="14"/>
      <c r="G99" s="14"/>
      <c r="H99" s="38">
        <f>ROUND((Source!CT36/IF(Source!BA36&lt;&gt;0,Source!BA36,1)*Source!I36),2)+ROUND((Source!CR36/IF(Source!BB36&lt;&gt;0,Source!BB36,1)*Source!I36),2)+H97+H98</f>
        <v>19.430000000000003</v>
      </c>
      <c r="I99" s="39"/>
      <c r="J99" s="39"/>
      <c r="K99" s="38">
        <f>Source!S36+Source!Q36+K97+K98</f>
        <v>232.27</v>
      </c>
      <c r="L99" s="38">
        <f>Source!U36</f>
        <v>0</v>
      </c>
      <c r="M99" s="33">
        <f>H99</f>
        <v>19.430000000000003</v>
      </c>
      <c r="N99">
        <f>ROUND((Source!CT36/IF(Source!BA36&lt;&gt;0,Source!BA36,1)*Source!I36),2)</f>
        <v>0</v>
      </c>
      <c r="O99">
        <f>IF(Source!BI36=1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19.438539</v>
      </c>
      <c r="P99">
        <f>IF(Source!BI36=2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Q99">
        <f>IF(Source!BI36=3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R99">
        <f>IF(Source!BI36=4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S99">
        <f>IF(Source!BI36=1,Source!O36+Source!X36+Source!Y36,0)</f>
        <v>232.27</v>
      </c>
      <c r="T99">
        <f>IF(Source!BI36=2,Source!O36+Source!X36+Source!Y36,0)</f>
        <v>0</v>
      </c>
      <c r="U99">
        <f>IF(Source!BI36=3,Source!O36+Source!X36+Source!Y36,0)</f>
        <v>0</v>
      </c>
      <c r="V99">
        <f>IF(Source!BI36=4,Source!O36+Source!X36+Source!Y36,0)</f>
        <v>0</v>
      </c>
      <c r="W99">
        <f>ROUND((Source!CS36/IF(Source!BS36&lt;&gt;0,Source!BS36,1)*Source!I36),2)</f>
        <v>3.24</v>
      </c>
    </row>
    <row r="100" spans="1:12" ht="60">
      <c r="A100" s="29" t="str">
        <f>Source!E37</f>
        <v>10</v>
      </c>
      <c r="B100" s="29" t="str">
        <f>Source!F37</f>
        <v>01-01-013-8</v>
      </c>
      <c r="C100" s="30" t="str">
        <f>Source!G37</f>
        <v>Погрузка на автомобили-самосвалы экскаваторами с ковшом вместимостью 0,65 (0,5-1) м3, группа грунтов 2</v>
      </c>
      <c r="D100" s="31" t="str">
        <f>Source!H37</f>
        <v>1000 м3</v>
      </c>
      <c r="E100" s="14">
        <f>ROUND(Source!I37,6)</f>
        <v>0.019</v>
      </c>
      <c r="F100" s="16">
        <f>IF(Source!AK37&lt;&gt;0,Source!AK37,Source!AL37+Source!AM37+Source!AO37)</f>
        <v>3894.54</v>
      </c>
      <c r="G100" s="14"/>
      <c r="H100" s="14"/>
      <c r="I100" s="32" t="str">
        <f>IF(Source!BO37&lt;&gt;"",Source!BO37,"")</f>
        <v>01-01-013-8</v>
      </c>
      <c r="J100" s="14"/>
      <c r="K100" s="14"/>
      <c r="L100" s="14"/>
    </row>
    <row r="101" spans="1:12" ht="15">
      <c r="A101" s="14"/>
      <c r="B101" s="14"/>
      <c r="C101" s="14" t="s">
        <v>429</v>
      </c>
      <c r="D101" s="14"/>
      <c r="E101" s="14"/>
      <c r="F101" s="16">
        <f>Source!AO37</f>
        <v>89</v>
      </c>
      <c r="G101" s="32">
        <f>Source!DG37</f>
      </c>
      <c r="H101" s="16">
        <f>ROUND((Source!CT37/IF(Source!BA37&lt;&gt;0,Source!BA37,1)*Source!I37),2)</f>
        <v>1.69</v>
      </c>
      <c r="I101" s="14"/>
      <c r="J101" s="14">
        <f>Source!BA37</f>
        <v>17.84</v>
      </c>
      <c r="K101" s="16">
        <f>Source!S37</f>
        <v>30.17</v>
      </c>
      <c r="L101" s="14"/>
    </row>
    <row r="102" spans="1:12" ht="15">
      <c r="A102" s="14"/>
      <c r="B102" s="14"/>
      <c r="C102" s="14" t="s">
        <v>107</v>
      </c>
      <c r="D102" s="14"/>
      <c r="E102" s="14"/>
      <c r="F102" s="16">
        <f>Source!AM37</f>
        <v>3801.2</v>
      </c>
      <c r="G102" s="32">
        <f>Source!DE37</f>
      </c>
      <c r="H102" s="16">
        <f>ROUND((Source!CR37/IF(Source!BB37&lt;&gt;0,Source!BB37,1)*Source!I37),2)</f>
        <v>72.22</v>
      </c>
      <c r="I102" s="14"/>
      <c r="J102" s="14">
        <f>Source!BB37</f>
        <v>8.2</v>
      </c>
      <c r="K102" s="16">
        <f>Source!Q37</f>
        <v>592.23</v>
      </c>
      <c r="L102" s="14"/>
    </row>
    <row r="103" spans="1:12" ht="15">
      <c r="A103" s="14"/>
      <c r="B103" s="14"/>
      <c r="C103" s="14" t="s">
        <v>434</v>
      </c>
      <c r="D103" s="14"/>
      <c r="E103" s="14"/>
      <c r="F103" s="16">
        <f>Source!AN37</f>
        <v>453.66</v>
      </c>
      <c r="G103" s="32">
        <f>Source!DF37</f>
      </c>
      <c r="H103" s="40">
        <f>ROUND((Source!CS37/IF(Source!BS37&lt;&gt;0,Source!BS37,1)*Source!I37),2)</f>
        <v>8.62</v>
      </c>
      <c r="I103" s="14"/>
      <c r="J103" s="14">
        <f>Source!BS37</f>
        <v>17.84</v>
      </c>
      <c r="K103" s="40">
        <f>Source!R37</f>
        <v>153.77</v>
      </c>
      <c r="L103" s="14"/>
    </row>
    <row r="104" spans="1:12" ht="15">
      <c r="A104" s="14"/>
      <c r="B104" s="14"/>
      <c r="C104" s="14" t="s">
        <v>435</v>
      </c>
      <c r="D104" s="14"/>
      <c r="E104" s="14"/>
      <c r="F104" s="16">
        <f>Source!AL37</f>
        <v>4.34</v>
      </c>
      <c r="G104" s="32">
        <f>Source!DD37</f>
      </c>
      <c r="H104" s="16">
        <f>ROUND((Source!CQ37/IF(Source!BC37&lt;&gt;0,Source!BC37,1)*Source!I37),2)</f>
        <v>0.08</v>
      </c>
      <c r="I104" s="14"/>
      <c r="J104" s="14">
        <f>Source!BC37</f>
        <v>11.93</v>
      </c>
      <c r="K104" s="16">
        <f>Source!P37</f>
        <v>0.98</v>
      </c>
      <c r="L104" s="14"/>
    </row>
    <row r="105" spans="1:24" ht="15">
      <c r="A105" s="14"/>
      <c r="B105" s="14"/>
      <c r="C105" s="14" t="s">
        <v>430</v>
      </c>
      <c r="D105" s="17" t="s">
        <v>431</v>
      </c>
      <c r="E105" s="14"/>
      <c r="F105" s="16">
        <f>Source!BZ37</f>
        <v>95</v>
      </c>
      <c r="G105" s="14"/>
      <c r="H105" s="16">
        <f>X105</f>
        <v>9.79</v>
      </c>
      <c r="I105" s="14" t="str">
        <f>Source!FV37</f>
        <v>((*0.85))</v>
      </c>
      <c r="J105" s="16">
        <f>Source!AT37</f>
        <v>81</v>
      </c>
      <c r="K105" s="16">
        <f>Source!X37</f>
        <v>148.99</v>
      </c>
      <c r="L105" s="14"/>
      <c r="X105">
        <f>ROUND((Source!FX37/100)*(ROUND((Source!CT37/IF(Source!BA37&lt;&gt;0,Source!BA37,1)*Source!I37),2)+ROUND((Source!CS37/IF(Source!BS37&lt;&gt;0,Source!BS37,1)*Source!I37),2)),2)</f>
        <v>9.79</v>
      </c>
    </row>
    <row r="106" spans="1:25" ht="15">
      <c r="A106" s="14"/>
      <c r="B106" s="14"/>
      <c r="C106" s="14" t="s">
        <v>123</v>
      </c>
      <c r="D106" s="17" t="s">
        <v>431</v>
      </c>
      <c r="E106" s="14"/>
      <c r="F106" s="16">
        <f>Source!CA37</f>
        <v>50</v>
      </c>
      <c r="G106" s="14"/>
      <c r="H106" s="16">
        <f>Y106</f>
        <v>5.16</v>
      </c>
      <c r="I106" s="14" t="str">
        <f>Source!FW37</f>
        <v>((*0.8))</v>
      </c>
      <c r="J106" s="16">
        <f>Source!AU37</f>
        <v>40</v>
      </c>
      <c r="K106" s="16">
        <f>Source!Y37</f>
        <v>73.58</v>
      </c>
      <c r="L106" s="14"/>
      <c r="Y106">
        <f>ROUND((Source!FY37/100)*(ROUND((Source!CT37/IF(Source!BA37&lt;&gt;0,Source!BA37,1)*Source!I37),2)+ROUND((Source!CS37/IF(Source!BS37&lt;&gt;0,Source!BS37,1)*Source!I37),2)),2)</f>
        <v>5.16</v>
      </c>
    </row>
    <row r="107" spans="1:12" ht="15">
      <c r="A107" s="34"/>
      <c r="B107" s="34"/>
      <c r="C107" s="34" t="s">
        <v>432</v>
      </c>
      <c r="D107" s="35" t="s">
        <v>433</v>
      </c>
      <c r="E107" s="34">
        <f>Source!AQ37</f>
        <v>11.41</v>
      </c>
      <c r="F107" s="34"/>
      <c r="G107" s="36">
        <f>Source!DI37</f>
      </c>
      <c r="H107" s="34"/>
      <c r="I107" s="34"/>
      <c r="J107" s="34"/>
      <c r="K107" s="34"/>
      <c r="L107" s="37">
        <f>Source!U37</f>
        <v>0.21679</v>
      </c>
    </row>
    <row r="108" spans="1:23" ht="15.75">
      <c r="A108" s="14"/>
      <c r="B108" s="14"/>
      <c r="C108" s="14"/>
      <c r="D108" s="14"/>
      <c r="E108" s="14"/>
      <c r="F108" s="14"/>
      <c r="G108" s="14"/>
      <c r="H108" s="38">
        <f>ROUND((Source!CT37/IF(Source!BA37&lt;&gt;0,Source!BA37,1)*Source!I37),2)+ROUND((Source!CR37/IF(Source!BB37&lt;&gt;0,Source!BB37,1)*Source!I37),2)+H104+H105+H106</f>
        <v>88.94</v>
      </c>
      <c r="I108" s="39"/>
      <c r="J108" s="39"/>
      <c r="K108" s="38">
        <f>Source!S37+Source!Q37+K104+K105+K106</f>
        <v>845.95</v>
      </c>
      <c r="L108" s="38">
        <f>Source!U37</f>
        <v>0.21679</v>
      </c>
      <c r="M108" s="33">
        <f>H108</f>
        <v>88.94</v>
      </c>
      <c r="N108">
        <f>ROUND((Source!CT37/IF(Source!BA37&lt;&gt;0,Source!BA37,1)*Source!I37),2)</f>
        <v>1.69</v>
      </c>
      <c r="O108">
        <f>IF(Source!BI37=1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88.94654299999999</v>
      </c>
      <c r="P108">
        <f>IF(Source!BI37=2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Q108">
        <f>IF(Source!BI37=3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R108">
        <f>IF(Source!BI37=4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S108">
        <f>IF(Source!BI37=1,Source!O37+Source!X37+Source!Y37,0)</f>
        <v>845.95</v>
      </c>
      <c r="T108">
        <f>IF(Source!BI37=2,Source!O37+Source!X37+Source!Y37,0)</f>
        <v>0</v>
      </c>
      <c r="U108">
        <f>IF(Source!BI37=3,Source!O37+Source!X37+Source!Y37,0)</f>
        <v>0</v>
      </c>
      <c r="V108">
        <f>IF(Source!BI37=4,Source!O37+Source!X37+Source!Y37,0)</f>
        <v>0</v>
      </c>
      <c r="W108">
        <f>ROUND((Source!CS37/IF(Source!BS37&lt;&gt;0,Source!BS37,1)*Source!I37),2)</f>
        <v>8.62</v>
      </c>
    </row>
    <row r="109" spans="1:12" ht="30">
      <c r="A109" s="29" t="str">
        <f>Source!E38</f>
        <v>11</v>
      </c>
      <c r="B109" s="29" t="str">
        <f>Source!F38</f>
        <v>Техчасть индексов</v>
      </c>
      <c r="C109" s="30" t="str">
        <f>Source!G38</f>
        <v>Вывоз грунта на 10 км</v>
      </c>
      <c r="D109" s="31" t="str">
        <f>Source!H38</f>
        <v>т</v>
      </c>
      <c r="E109" s="14">
        <f>ROUND(Source!I38,6)</f>
        <v>2.8</v>
      </c>
      <c r="F109" s="16">
        <f>IF(Source!AK38&lt;&gt;0,Source!AK38,Source!AL38+Source!AM38+Source!AO38)</f>
        <v>14.63</v>
      </c>
      <c r="G109" s="14"/>
      <c r="H109" s="14"/>
      <c r="I109" s="32">
        <f>IF(Source!BO38&lt;&gt;"",Source!BO38,"")</f>
      </c>
      <c r="J109" s="14"/>
      <c r="K109" s="14"/>
      <c r="L109" s="14"/>
    </row>
    <row r="110" spans="1:12" ht="15">
      <c r="A110" s="34"/>
      <c r="B110" s="34"/>
      <c r="C110" s="34" t="s">
        <v>107</v>
      </c>
      <c r="D110" s="34"/>
      <c r="E110" s="34"/>
      <c r="F110" s="37">
        <f>Source!AM38</f>
        <v>14.63</v>
      </c>
      <c r="G110" s="36">
        <f>Source!DE38</f>
      </c>
      <c r="H110" s="37">
        <f>ROUND((Source!CR38/IF(Source!BB38&lt;&gt;0,Source!BB38,1)*Source!I38),2)</f>
        <v>40.96</v>
      </c>
      <c r="I110" s="34"/>
      <c r="J110" s="34">
        <f>Source!BB38</f>
        <v>5.32</v>
      </c>
      <c r="K110" s="37">
        <f>Source!Q38</f>
        <v>217.93</v>
      </c>
      <c r="L110" s="34"/>
    </row>
    <row r="111" spans="1:23" ht="15.75">
      <c r="A111" s="14"/>
      <c r="B111" s="14"/>
      <c r="C111" s="14"/>
      <c r="D111" s="14"/>
      <c r="E111" s="14"/>
      <c r="F111" s="14"/>
      <c r="G111" s="14"/>
      <c r="H111" s="38">
        <f>ROUND((Source!CT38/IF(Source!BA38&lt;&gt;0,Source!BA38,1)*Source!I38),2)+ROUND((Source!CR38/IF(Source!BB38&lt;&gt;0,Source!BB38,1)*Source!I38),2)</f>
        <v>40.96</v>
      </c>
      <c r="I111" s="39"/>
      <c r="J111" s="39"/>
      <c r="K111" s="38">
        <f>Source!S38+Source!Q38</f>
        <v>217.93</v>
      </c>
      <c r="L111" s="38">
        <f>Source!U38</f>
        <v>0</v>
      </c>
      <c r="M111" s="33">
        <f>H111</f>
        <v>40.96</v>
      </c>
      <c r="N111">
        <f>ROUND((Source!CT38/IF(Source!BA38&lt;&gt;0,Source!BA38,1)*Source!I38),2)</f>
        <v>0</v>
      </c>
      <c r="O111">
        <f>IF(Source!BI38=1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P111">
        <f>IF(Source!BI38=2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Q111">
        <f>IF(Source!BI38=3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R111">
        <f>IF(Source!BI38=4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40.964</v>
      </c>
      <c r="S111">
        <f>IF(Source!BI38=1,Source!O38+Source!X38+Source!Y38,0)</f>
        <v>0</v>
      </c>
      <c r="T111">
        <f>IF(Source!BI38=2,Source!O38+Source!X38+Source!Y38,0)</f>
        <v>0</v>
      </c>
      <c r="U111">
        <f>IF(Source!BI38=3,Source!O38+Source!X38+Source!Y38,0)</f>
        <v>0</v>
      </c>
      <c r="V111">
        <f>IF(Source!BI38=4,Source!O38+Source!X38+Source!Y38,0)</f>
        <v>217.93</v>
      </c>
      <c r="W111">
        <f>ROUND((Source!CS38/IF(Source!BS38&lt;&gt;0,Source!BS38,1)*Source!I38),2)</f>
        <v>0</v>
      </c>
    </row>
    <row r="112" spans="1:12" ht="90">
      <c r="A112" s="29" t="str">
        <f>Source!E39</f>
        <v>12</v>
      </c>
      <c r="B112" s="29" t="str">
        <f>Source!F39</f>
        <v>47-01-046-3</v>
      </c>
      <c r="C112" s="30" t="str">
        <f>Source!G39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D112" s="31" t="str">
        <f>Source!H39</f>
        <v>100 м2</v>
      </c>
      <c r="E112" s="14">
        <f>ROUND(Source!I39,6)</f>
        <v>0.9</v>
      </c>
      <c r="F112" s="16">
        <f>IF(Source!AK39&lt;&gt;0,Source!AK39,Source!AL39+Source!AM39+Source!AO39)</f>
        <v>2263.61</v>
      </c>
      <c r="G112" s="14"/>
      <c r="H112" s="14"/>
      <c r="I112" s="32" t="str">
        <f>IF(Source!BO39&lt;&gt;"",Source!BO39,"")</f>
        <v>47-01-046-3</v>
      </c>
      <c r="J112" s="14"/>
      <c r="K112" s="14"/>
      <c r="L112" s="14"/>
    </row>
    <row r="113" spans="1:12" ht="15">
      <c r="A113" s="14"/>
      <c r="B113" s="14"/>
      <c r="C113" s="14" t="s">
        <v>429</v>
      </c>
      <c r="D113" s="14"/>
      <c r="E113" s="14"/>
      <c r="F113" s="16">
        <f>Source!AO39</f>
        <v>278.54</v>
      </c>
      <c r="G113" s="32">
        <f>Source!DG39</f>
      </c>
      <c r="H113" s="16">
        <f>ROUND((Source!CT39/IF(Source!BA39&lt;&gt;0,Source!BA39,1)*Source!I39),2)</f>
        <v>250.69</v>
      </c>
      <c r="I113" s="14"/>
      <c r="J113" s="14">
        <f>Source!BA39</f>
        <v>17.84</v>
      </c>
      <c r="K113" s="16">
        <f>Source!S39</f>
        <v>4472.24</v>
      </c>
      <c r="L113" s="14"/>
    </row>
    <row r="114" spans="1:12" ht="15">
      <c r="A114" s="14"/>
      <c r="B114" s="14"/>
      <c r="C114" s="14" t="s">
        <v>107</v>
      </c>
      <c r="D114" s="14"/>
      <c r="E114" s="14"/>
      <c r="F114" s="16">
        <f>Source!AM39</f>
        <v>6.57</v>
      </c>
      <c r="G114" s="32">
        <f>Source!DE39</f>
      </c>
      <c r="H114" s="16">
        <f>ROUND((Source!CR39/IF(Source!BB39&lt;&gt;0,Source!BB39,1)*Source!I39),2)</f>
        <v>5.91</v>
      </c>
      <c r="I114" s="14"/>
      <c r="J114" s="14">
        <f>Source!BB39</f>
        <v>6.04</v>
      </c>
      <c r="K114" s="16">
        <f>Source!Q39</f>
        <v>35.71</v>
      </c>
      <c r="L114" s="14"/>
    </row>
    <row r="115" spans="1:12" ht="15">
      <c r="A115" s="14"/>
      <c r="B115" s="14"/>
      <c r="C115" s="14" t="s">
        <v>434</v>
      </c>
      <c r="D115" s="14"/>
      <c r="E115" s="14"/>
      <c r="F115" s="16">
        <f>Source!AN39</f>
        <v>0.95</v>
      </c>
      <c r="G115" s="32">
        <f>Source!DF39</f>
      </c>
      <c r="H115" s="40">
        <f>ROUND((Source!CS39/IF(Source!BS39&lt;&gt;0,Source!BS39,1)*Source!I39),2)</f>
        <v>0.86</v>
      </c>
      <c r="I115" s="14"/>
      <c r="J115" s="14">
        <f>Source!BS39</f>
        <v>17.84</v>
      </c>
      <c r="K115" s="40">
        <f>Source!R39</f>
        <v>15.25</v>
      </c>
      <c r="L115" s="14"/>
    </row>
    <row r="116" spans="1:12" ht="15">
      <c r="A116" s="14"/>
      <c r="B116" s="14"/>
      <c r="C116" s="14" t="s">
        <v>435</v>
      </c>
      <c r="D116" s="14"/>
      <c r="E116" s="14"/>
      <c r="F116" s="16">
        <f>Source!AL39</f>
        <v>1978.5</v>
      </c>
      <c r="G116" s="32">
        <f>Source!DD39</f>
      </c>
      <c r="H116" s="16">
        <f>ROUND((Source!CQ39/IF(Source!BC39&lt;&gt;0,Source!BC39,1)*Source!I39),2)</f>
        <v>1780.65</v>
      </c>
      <c r="I116" s="14"/>
      <c r="J116" s="14">
        <f>Source!BC39</f>
        <v>4.33</v>
      </c>
      <c r="K116" s="16">
        <f>Source!P39</f>
        <v>7710.21</v>
      </c>
      <c r="L116" s="14"/>
    </row>
    <row r="117" spans="1:24" ht="15">
      <c r="A117" s="14"/>
      <c r="B117" s="14"/>
      <c r="C117" s="14" t="s">
        <v>430</v>
      </c>
      <c r="D117" s="17" t="s">
        <v>431</v>
      </c>
      <c r="E117" s="14"/>
      <c r="F117" s="16">
        <f>Source!BZ39</f>
        <v>115</v>
      </c>
      <c r="G117" s="14"/>
      <c r="H117" s="16">
        <f>X117+X120+X121+X122</f>
        <v>289.28</v>
      </c>
      <c r="I117" s="14" t="str">
        <f>Source!FV39</f>
        <v>((*0.85))</v>
      </c>
      <c r="J117" s="16">
        <f>Source!AT39</f>
        <v>98</v>
      </c>
      <c r="K117" s="16">
        <f>Source!X39+Source!X40+Source!X41+Source!X42</f>
        <v>4397.74</v>
      </c>
      <c r="L117" s="14"/>
      <c r="X117">
        <f>ROUND((Source!FX39/100)*(ROUND((Source!CT39/IF(Source!BA39&lt;&gt;0,Source!BA39,1)*Source!I39),2)+ROUND((Source!CS39/IF(Source!BS39&lt;&gt;0,Source!BS39,1)*Source!I39),2)),2)</f>
        <v>289.28</v>
      </c>
    </row>
    <row r="118" spans="1:25" ht="15">
      <c r="A118" s="14"/>
      <c r="B118" s="14"/>
      <c r="C118" s="14" t="s">
        <v>123</v>
      </c>
      <c r="D118" s="17" t="s">
        <v>431</v>
      </c>
      <c r="E118" s="14"/>
      <c r="F118" s="16">
        <f>Source!CA39</f>
        <v>90</v>
      </c>
      <c r="G118" s="14"/>
      <c r="H118" s="16">
        <f>Y118+Y120+Y121+Y122</f>
        <v>226.4</v>
      </c>
      <c r="I118" s="14" t="str">
        <f>Source!FW39</f>
        <v>((*0.8))</v>
      </c>
      <c r="J118" s="16">
        <f>Source!AU39</f>
        <v>72</v>
      </c>
      <c r="K118" s="16">
        <f>Source!Y39+Source!Y40+Source!Y41+Source!Y42</f>
        <v>3230.99</v>
      </c>
      <c r="L118" s="14"/>
      <c r="Y118">
        <f>ROUND((Source!FY39/100)*(ROUND((Source!CT39/IF(Source!BA39&lt;&gt;0,Source!BA39,1)*Source!I39),2)+ROUND((Source!CS39/IF(Source!BS39&lt;&gt;0,Source!BS39,1)*Source!I39),2)),2)</f>
        <v>226.4</v>
      </c>
    </row>
    <row r="119" spans="1:12" ht="15">
      <c r="A119" s="14"/>
      <c r="B119" s="14"/>
      <c r="C119" s="14" t="s">
        <v>432</v>
      </c>
      <c r="D119" s="17" t="s">
        <v>433</v>
      </c>
      <c r="E119" s="14">
        <f>Source!AQ39</f>
        <v>35.08</v>
      </c>
      <c r="F119" s="14"/>
      <c r="G119" s="32">
        <f>Source!DI39</f>
      </c>
      <c r="H119" s="14"/>
      <c r="I119" s="14"/>
      <c r="J119" s="14"/>
      <c r="K119" s="14"/>
      <c r="L119" s="16">
        <f>Source!U39</f>
        <v>31.572</v>
      </c>
    </row>
    <row r="120" spans="1:25" ht="30">
      <c r="A120" s="29" t="str">
        <f>Source!E40</f>
        <v>12,1</v>
      </c>
      <c r="B120" s="29" t="str">
        <f>Source!F40</f>
        <v>407-0013</v>
      </c>
      <c r="C120" s="30" t="str">
        <f>Source!G40</f>
        <v>Земля растительная механизированной заготовки</v>
      </c>
      <c r="D120" s="31" t="str">
        <f>Source!H40</f>
        <v>м3</v>
      </c>
      <c r="E120" s="14">
        <f>ROUND(Source!I40,6)</f>
        <v>-13.5</v>
      </c>
      <c r="F120" s="16">
        <f>IF(Source!AL40=0,Source!AK40,Source!AL40)</f>
        <v>131.9</v>
      </c>
      <c r="G120" s="32">
        <f>Source!DD40</f>
      </c>
      <c r="H120" s="41">
        <f>ROUND((Source!CR40/IF(Source!BB40&lt;&gt;0,Source!BB40,1)*Source!I40),2)+ROUND((Source!CQ40/IF(Source!BC40&lt;&gt;0,Source!BC40,1)*Source!I40),2)+ROUND((Source!CT40/IF(Source!BA40&lt;&gt;0,Source!BA40,1)*Source!I40),2)</f>
        <v>-1780.65</v>
      </c>
      <c r="I120" s="32" t="str">
        <f>IF(Source!BO40&lt;&gt;"",Source!BO40,"")</f>
        <v>407-0013</v>
      </c>
      <c r="J120" s="14">
        <f>Source!BC40</f>
        <v>4.33</v>
      </c>
      <c r="K120" s="16">
        <f>Source!O40</f>
        <v>-7710.21</v>
      </c>
      <c r="L120" s="14"/>
      <c r="N120">
        <f>ROUND((Source!CT40/IF(Source!BA40&lt;&gt;0,Source!BA40,1)*Source!I40),2)</f>
        <v>0</v>
      </c>
      <c r="O120">
        <f>IF(Source!BI40=1,(ROUND((Source!CR40/IF(Source!BB40&lt;&gt;0,Source!BB40,1)*Source!I40),2)+ROUND((Source!CQ40/IF(Source!BC40&lt;&gt;0,Source!BC40,1)*Source!I40),2)+ROUND((Source!CT40/IF(Source!BA40&lt;&gt;0,Source!BA40,1)*Source!I40),2)),0)</f>
        <v>-1780.65</v>
      </c>
      <c r="P120">
        <f>IF(Source!BI40=2,(ROUND((Source!CR40/IF(Source!BB40&lt;&gt;0,Source!BB40,1)*Source!I40),2)+ROUND((Source!CQ40/IF(Source!BC40&lt;&gt;0,Source!BC40,1)*Source!I40),2)+ROUND((Source!CT40/IF(Source!BA40&lt;&gt;0,Source!BA40,1)*Source!I40),2)),0)</f>
        <v>0</v>
      </c>
      <c r="Q120">
        <f>IF(Source!BI40=3,(ROUND((Source!CR40/IF(Source!BB40&lt;&gt;0,Source!BB40,1)*Source!I40),2)+ROUND((Source!CQ40/IF(Source!BC40&lt;&gt;0,Source!BC40,1)*Source!I40),2)+ROUND((Source!CT40/IF(Source!BA40&lt;&gt;0,Source!BA40,1)*Source!I40),2)),0)</f>
        <v>0</v>
      </c>
      <c r="R120">
        <f>IF(Source!BI40=4,(ROUND((Source!CR40/IF(Source!BB40&lt;&gt;0,Source!BB40,1)*Source!I40),2)+ROUND((Source!CQ40/IF(Source!BC40&lt;&gt;0,Source!BC40,1)*Source!I40),2)+ROUND((Source!CT40/IF(Source!BA40&lt;&gt;0,Source!BA40,1)*Source!I40),2)),0)</f>
        <v>0</v>
      </c>
      <c r="S120">
        <f>IF(Source!BI40=1,Source!O40+Source!X40+Source!Y40,0)</f>
        <v>-7710.21</v>
      </c>
      <c r="T120">
        <f>IF(Source!BI40=2,Source!O40+Source!X40+Source!Y40,0)</f>
        <v>0</v>
      </c>
      <c r="U120">
        <f>IF(Source!BI40=3,Source!O40+Source!X40+Source!Y40,0)</f>
        <v>0</v>
      </c>
      <c r="V120">
        <f>IF(Source!BI40=4,Source!O40+Source!X40+Source!Y40,0)</f>
        <v>0</v>
      </c>
      <c r="W120">
        <f>ROUND((Source!CS40/IF(Source!BS40&lt;&gt;0,Source!BS40,1)*Source!I40),2)</f>
        <v>0</v>
      </c>
      <c r="X120">
        <f>ROUND((Source!FX40/100)*(ROUND((Source!CT40/IF(Source!BA40&lt;&gt;0,Source!BA40,1)*Source!I40),2)+ROUND((Source!CS40/IF(Source!BS40&lt;&gt;0,Source!BS40,1)*Source!I40),2)),2)</f>
        <v>0</v>
      </c>
      <c r="Y120">
        <f>ROUND((Source!FY40/100)*(ROUND((Source!CT40/IF(Source!BA40&lt;&gt;0,Source!BA40,1)*Source!I40),2)+ROUND((Source!CS40/IF(Source!BS40&lt;&gt;0,Source!BS40,1)*Source!I40),2)),2)</f>
        <v>0</v>
      </c>
    </row>
    <row r="121" spans="1:25" ht="30">
      <c r="A121" s="29" t="str">
        <f>Source!E41</f>
        <v>12,2</v>
      </c>
      <c r="B121" s="29" t="str">
        <f>Source!F41</f>
        <v>407-0013</v>
      </c>
      <c r="C121" s="30" t="str">
        <f>Source!G41</f>
        <v>Земля растительная механизированной заготовки</v>
      </c>
      <c r="D121" s="31" t="str">
        <f>Source!H41</f>
        <v>м3</v>
      </c>
      <c r="E121" s="14">
        <f>ROUND(Source!I41,6)</f>
        <v>4.5</v>
      </c>
      <c r="F121" s="16">
        <f>IF(Source!AL41=0,Source!AK41,Source!AL41)</f>
        <v>131.9</v>
      </c>
      <c r="G121" s="32">
        <f>Source!DD41</f>
      </c>
      <c r="H121" s="41">
        <f>ROUND((Source!CR41/IF(Source!BB41&lt;&gt;0,Source!BB41,1)*Source!I41),2)+ROUND((Source!CQ41/IF(Source!BC41&lt;&gt;0,Source!BC41,1)*Source!I41),2)+ROUND((Source!CT41/IF(Source!BA41&lt;&gt;0,Source!BA41,1)*Source!I41),2)</f>
        <v>593.55</v>
      </c>
      <c r="I121" s="32" t="str">
        <f>IF(Source!BO41&lt;&gt;"",Source!BO41,"")</f>
        <v>407-0013</v>
      </c>
      <c r="J121" s="14">
        <f>Source!BC41</f>
        <v>4.33</v>
      </c>
      <c r="K121" s="16">
        <f>Source!O41</f>
        <v>2570.07</v>
      </c>
      <c r="L121" s="14"/>
      <c r="N121">
        <f>ROUND((Source!CT41/IF(Source!BA41&lt;&gt;0,Source!BA41,1)*Source!I41),2)</f>
        <v>0</v>
      </c>
      <c r="O121">
        <f>IF(Source!BI41=1,(ROUND((Source!CR41/IF(Source!BB41&lt;&gt;0,Source!BB41,1)*Source!I41),2)+ROUND((Source!CQ41/IF(Source!BC41&lt;&gt;0,Source!BC41,1)*Source!I41),2)+ROUND((Source!CT41/IF(Source!BA41&lt;&gt;0,Source!BA41,1)*Source!I41),2)),0)</f>
        <v>593.55</v>
      </c>
      <c r="P121">
        <f>IF(Source!BI41=2,(ROUND((Source!CR41/IF(Source!BB41&lt;&gt;0,Source!BB41,1)*Source!I41),2)+ROUND((Source!CQ41/IF(Source!BC41&lt;&gt;0,Source!BC41,1)*Source!I41),2)+ROUND((Source!CT41/IF(Source!BA41&lt;&gt;0,Source!BA41,1)*Source!I41),2)),0)</f>
        <v>0</v>
      </c>
      <c r="Q121">
        <f>IF(Source!BI41=3,(ROUND((Source!CR41/IF(Source!BB41&lt;&gt;0,Source!BB41,1)*Source!I41),2)+ROUND((Source!CQ41/IF(Source!BC41&lt;&gt;0,Source!BC41,1)*Source!I41),2)+ROUND((Source!CT41/IF(Source!BA41&lt;&gt;0,Source!BA41,1)*Source!I41),2)),0)</f>
        <v>0</v>
      </c>
      <c r="R121">
        <f>IF(Source!BI41=4,(ROUND((Source!CR41/IF(Source!BB41&lt;&gt;0,Source!BB41,1)*Source!I41),2)+ROUND((Source!CQ41/IF(Source!BC41&lt;&gt;0,Source!BC41,1)*Source!I41),2)+ROUND((Source!CT41/IF(Source!BA41&lt;&gt;0,Source!BA41,1)*Source!I41),2)),0)</f>
        <v>0</v>
      </c>
      <c r="S121">
        <f>IF(Source!BI41=1,Source!O41+Source!X41+Source!Y41,0)</f>
        <v>2570.07</v>
      </c>
      <c r="T121">
        <f>IF(Source!BI41=2,Source!O41+Source!X41+Source!Y41,0)</f>
        <v>0</v>
      </c>
      <c r="U121">
        <f>IF(Source!BI41=3,Source!O41+Source!X41+Source!Y41,0)</f>
        <v>0</v>
      </c>
      <c r="V121">
        <f>IF(Source!BI41=4,Source!O41+Source!X41+Source!Y41,0)</f>
        <v>0</v>
      </c>
      <c r="W121">
        <f>ROUND((Source!CS41/IF(Source!BS41&lt;&gt;0,Source!BS41,1)*Source!I41),2)</f>
        <v>0</v>
      </c>
      <c r="X121">
        <f>ROUND((Source!FX41/100)*(ROUND((Source!CT41/IF(Source!BA41&lt;&gt;0,Source!BA41,1)*Source!I41),2)+ROUND((Source!CS41/IF(Source!BS41&lt;&gt;0,Source!BS41,1)*Source!I41),2)),2)</f>
        <v>0</v>
      </c>
      <c r="Y121">
        <f>ROUND((Source!FY41/100)*(ROUND((Source!CT41/IF(Source!BA41&lt;&gt;0,Source!BA41,1)*Source!I41),2)+ROUND((Source!CS41/IF(Source!BS41&lt;&gt;0,Source!BS41,1)*Source!I41),2)),2)</f>
        <v>0</v>
      </c>
    </row>
    <row r="122" spans="1:25" ht="30">
      <c r="A122" s="42" t="str">
        <f>Source!E42</f>
        <v>12,3</v>
      </c>
      <c r="B122" s="42" t="str">
        <f>Source!F42</f>
        <v>408-0122</v>
      </c>
      <c r="C122" s="43" t="str">
        <f>Source!G42</f>
        <v>Песок природный для строительных работ средний</v>
      </c>
      <c r="D122" s="44" t="str">
        <f>Source!H42</f>
        <v>м3</v>
      </c>
      <c r="E122" s="34">
        <f>ROUND(Source!I42,6)</f>
        <v>4.5</v>
      </c>
      <c r="F122" s="37">
        <f>IF(Source!AL42=0,Source!AK42,Source!AL42)</f>
        <v>55.26</v>
      </c>
      <c r="G122" s="36">
        <f>Source!DD42</f>
      </c>
      <c r="H122" s="45">
        <f>ROUND((Source!CR42/IF(Source!BB42&lt;&gt;0,Source!BB42,1)*Source!I42),2)+ROUND((Source!CQ42/IF(Source!BC42&lt;&gt;0,Source!BC42,1)*Source!I42),2)+ROUND((Source!CT42/IF(Source!BA42&lt;&gt;0,Source!BA42,1)*Source!I42),2)</f>
        <v>248.67</v>
      </c>
      <c r="I122" s="36" t="str">
        <f>IF(Source!BO42&lt;&gt;"",Source!BO42,"")</f>
        <v>408-0122</v>
      </c>
      <c r="J122" s="34">
        <f>Source!BC42</f>
        <v>9.25</v>
      </c>
      <c r="K122" s="37">
        <f>Source!O42</f>
        <v>2300.2</v>
      </c>
      <c r="L122" s="34"/>
      <c r="N122">
        <f>ROUND((Source!CT42/IF(Source!BA42&lt;&gt;0,Source!BA42,1)*Source!I42),2)</f>
        <v>0</v>
      </c>
      <c r="O122">
        <f>IF(Source!BI42=1,(ROUND((Source!CR42/IF(Source!BB42&lt;&gt;0,Source!BB42,1)*Source!I42),2)+ROUND((Source!CQ42/IF(Source!BC42&lt;&gt;0,Source!BC42,1)*Source!I42),2)+ROUND((Source!CT42/IF(Source!BA42&lt;&gt;0,Source!BA42,1)*Source!I42),2)),0)</f>
        <v>248.67</v>
      </c>
      <c r="P122">
        <f>IF(Source!BI42=2,(ROUND((Source!CR42/IF(Source!BB42&lt;&gt;0,Source!BB42,1)*Source!I42),2)+ROUND((Source!CQ42/IF(Source!BC42&lt;&gt;0,Source!BC42,1)*Source!I42),2)+ROUND((Source!CT42/IF(Source!BA42&lt;&gt;0,Source!BA42,1)*Source!I42),2)),0)</f>
        <v>0</v>
      </c>
      <c r="Q122">
        <f>IF(Source!BI42=3,(ROUND((Source!CR42/IF(Source!BB42&lt;&gt;0,Source!BB42,1)*Source!I42),2)+ROUND((Source!CQ42/IF(Source!BC42&lt;&gt;0,Source!BC42,1)*Source!I42),2)+ROUND((Source!CT42/IF(Source!BA42&lt;&gt;0,Source!BA42,1)*Source!I42),2)),0)</f>
        <v>0</v>
      </c>
      <c r="R122">
        <f>IF(Source!BI42=4,(ROUND((Source!CR42/IF(Source!BB42&lt;&gt;0,Source!BB42,1)*Source!I42),2)+ROUND((Source!CQ42/IF(Source!BC42&lt;&gt;0,Source!BC42,1)*Source!I42),2)+ROUND((Source!CT42/IF(Source!BA42&lt;&gt;0,Source!BA42,1)*Source!I42),2)),0)</f>
        <v>0</v>
      </c>
      <c r="S122">
        <f>IF(Source!BI42=1,Source!O42+Source!X42+Source!Y42,0)</f>
        <v>2300.2</v>
      </c>
      <c r="T122">
        <f>IF(Source!BI42=2,Source!O42+Source!X42+Source!Y42,0)</f>
        <v>0</v>
      </c>
      <c r="U122">
        <f>IF(Source!BI42=3,Source!O42+Source!X42+Source!Y42,0)</f>
        <v>0</v>
      </c>
      <c r="V122">
        <f>IF(Source!BI42=4,Source!O42+Source!X42+Source!Y42,0)</f>
        <v>0</v>
      </c>
      <c r="W122">
        <f>ROUND((Source!CS42/IF(Source!BS42&lt;&gt;0,Source!BS42,1)*Source!I42),2)</f>
        <v>0</v>
      </c>
      <c r="X122">
        <f>ROUND((Source!FX42/100)*(ROUND((Source!CT42/IF(Source!BA42&lt;&gt;0,Source!BA42,1)*Source!I42),2)+ROUND((Source!CS42/IF(Source!BS42&lt;&gt;0,Source!BS42,1)*Source!I42),2)),2)</f>
        <v>0</v>
      </c>
      <c r="Y122">
        <f>ROUND((Source!FY42/100)*(ROUND((Source!CT42/IF(Source!BA42&lt;&gt;0,Source!BA42,1)*Source!I42),2)+ROUND((Source!CS42/IF(Source!BS42&lt;&gt;0,Source!BS42,1)*Source!I42),2)),2)</f>
        <v>0</v>
      </c>
    </row>
    <row r="123" spans="1:23" ht="15.75">
      <c r="A123" s="14"/>
      <c r="B123" s="14"/>
      <c r="C123" s="14"/>
      <c r="D123" s="14"/>
      <c r="E123" s="14"/>
      <c r="F123" s="14"/>
      <c r="G123" s="14"/>
      <c r="H123" s="38">
        <f>ROUND((Source!CT39/IF(Source!BA39&lt;&gt;0,Source!BA39,1)*Source!I39),2)+ROUND((Source!CR39/IF(Source!BB39&lt;&gt;0,Source!BB39,1)*Source!I39),2)+H116+H117+H118+H120+H121+H122</f>
        <v>1614.4999999999998</v>
      </c>
      <c r="I123" s="39"/>
      <c r="J123" s="39"/>
      <c r="K123" s="38">
        <f>Source!S39+Source!Q39+K116+K117+K118+K120+K121+K122</f>
        <v>17006.95</v>
      </c>
      <c r="L123" s="38">
        <f>Source!U39</f>
        <v>31.572</v>
      </c>
      <c r="M123" s="33">
        <f>H123</f>
        <v>1614.4999999999998</v>
      </c>
      <c r="N123">
        <f>ROUND((Source!CT39/IF(Source!BA39&lt;&gt;0,Source!BA39,1)*Source!I39),2)</f>
        <v>250.69</v>
      </c>
      <c r="O123">
        <f>IF(Source!BI39=1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2552.9080500000005</v>
      </c>
      <c r="P123">
        <f>IF(Source!BI39=2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Q123">
        <f>IF(Source!BI39=3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R123">
        <f>IF(Source!BI39=4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S123">
        <f>IF(Source!BI39=1,Source!O39+Source!X39+Source!Y39,0)</f>
        <v>19846.89</v>
      </c>
      <c r="T123">
        <f>IF(Source!BI39=2,Source!O39+Source!X39+Source!Y39,0)</f>
        <v>0</v>
      </c>
      <c r="U123">
        <f>IF(Source!BI39=3,Source!O39+Source!X39+Source!Y39,0)</f>
        <v>0</v>
      </c>
      <c r="V123">
        <f>IF(Source!BI39=4,Source!O39+Source!X39+Source!Y39,0)</f>
        <v>0</v>
      </c>
      <c r="W123">
        <f>ROUND((Source!CS39/IF(Source!BS39&lt;&gt;0,Source!BS39,1)*Source!I39),2)</f>
        <v>0.86</v>
      </c>
    </row>
    <row r="125" spans="3:23" s="39" customFormat="1" ht="15.75">
      <c r="C125" s="39" t="s">
        <v>174</v>
      </c>
      <c r="G125" s="91">
        <f>SUM(M44:M124)</f>
        <v>20936.5</v>
      </c>
      <c r="H125" s="91"/>
      <c r="J125" s="91">
        <f>ROUND(Source!AB26+Source!AK26+Source!AL26+Source!AE26*0/100,2)</f>
        <v>220367.3</v>
      </c>
      <c r="K125" s="91"/>
      <c r="L125" s="38">
        <f>Source!AH26</f>
        <v>275.6</v>
      </c>
      <c r="N125" s="38">
        <f aca="true" t="shared" si="0" ref="N125:W125">SUM(N44:N124)</f>
        <v>2328.1600000000003</v>
      </c>
      <c r="O125" s="38">
        <f t="shared" si="0"/>
        <v>20857.374015999998</v>
      </c>
      <c r="P125" s="38">
        <f t="shared" si="0"/>
        <v>0</v>
      </c>
      <c r="Q125" s="38">
        <f t="shared" si="0"/>
        <v>0</v>
      </c>
      <c r="R125" s="38">
        <f t="shared" si="0"/>
        <v>79.094</v>
      </c>
      <c r="S125" s="38">
        <f t="shared" si="0"/>
        <v>219773.88000000006</v>
      </c>
      <c r="T125" s="38">
        <f t="shared" si="0"/>
        <v>0</v>
      </c>
      <c r="U125" s="38">
        <f t="shared" si="0"/>
        <v>0</v>
      </c>
      <c r="V125" s="38">
        <f t="shared" si="0"/>
        <v>593.4200000000001</v>
      </c>
      <c r="W125" s="39">
        <f t="shared" si="0"/>
        <v>720.97</v>
      </c>
    </row>
    <row r="127" spans="3:30" ht="18">
      <c r="C127" s="26" t="s">
        <v>428</v>
      </c>
      <c r="D127" s="89" t="str">
        <f>IF(Source!C12="1",Source!F60,Source!G60)</f>
        <v>Внутридворовая территория около д. 37</v>
      </c>
      <c r="E127" s="92"/>
      <c r="F127" s="92"/>
      <c r="G127" s="92"/>
      <c r="H127" s="92"/>
      <c r="I127" s="92"/>
      <c r="J127" s="92"/>
      <c r="K127" s="92"/>
      <c r="L127" s="92"/>
      <c r="AD127" s="28" t="str">
        <f>IF(Source!C12="1",Source!F60,Source!G60)</f>
        <v>Внутридворовая территория около д. 37</v>
      </c>
    </row>
    <row r="129" spans="1:12" ht="15">
      <c r="A129" s="29" t="str">
        <f>Source!E64</f>
        <v>13</v>
      </c>
      <c r="B129" s="29" t="str">
        <f>Source!F64</f>
        <v>68-5-1</v>
      </c>
      <c r="C129" s="30" t="str">
        <f>Source!G64</f>
        <v>Вырезка кустарника</v>
      </c>
      <c r="D129" s="31" t="str">
        <f>Source!H64</f>
        <v>шт.</v>
      </c>
      <c r="E129" s="14">
        <f>ROUND(Source!I64,6)</f>
        <v>38</v>
      </c>
      <c r="F129" s="16">
        <f>IF(Source!AK64&lt;&gt;0,Source!AK64,Source!AL64+Source!AM64+Source!AO64)</f>
        <v>4.48</v>
      </c>
      <c r="G129" s="14"/>
      <c r="H129" s="14"/>
      <c r="I129" s="32" t="str">
        <f>IF(Source!BO64&lt;&gt;"",Source!BO64,"")</f>
        <v>68-5-1</v>
      </c>
      <c r="J129" s="14"/>
      <c r="K129" s="14"/>
      <c r="L129" s="14"/>
    </row>
    <row r="130" spans="1:12" ht="15">
      <c r="A130" s="14"/>
      <c r="B130" s="14"/>
      <c r="C130" s="14" t="s">
        <v>429</v>
      </c>
      <c r="D130" s="14"/>
      <c r="E130" s="14"/>
      <c r="F130" s="16">
        <f>Source!AO64</f>
        <v>4.48</v>
      </c>
      <c r="G130" s="32">
        <f>Source!DG64</f>
      </c>
      <c r="H130" s="16">
        <f>ROUND((Source!CT64/IF(Source!BA64&lt;&gt;0,Source!BA64,1)*Source!I64),2)</f>
        <v>170.24</v>
      </c>
      <c r="I130" s="14"/>
      <c r="J130" s="14">
        <f>Source!BA64</f>
        <v>17.84</v>
      </c>
      <c r="K130" s="16">
        <f>Source!S64</f>
        <v>3037.08</v>
      </c>
      <c r="L130" s="14"/>
    </row>
    <row r="131" spans="1:24" ht="15">
      <c r="A131" s="14"/>
      <c r="B131" s="14"/>
      <c r="C131" s="14" t="s">
        <v>430</v>
      </c>
      <c r="D131" s="17" t="s">
        <v>431</v>
      </c>
      <c r="E131" s="14"/>
      <c r="F131" s="16">
        <f>Source!BZ64</f>
        <v>104</v>
      </c>
      <c r="G131" s="14"/>
      <c r="H131" s="16">
        <f>X131</f>
        <v>177.05</v>
      </c>
      <c r="I131" s="14" t="str">
        <f>Source!FV64</f>
        <v>((*0.85))</v>
      </c>
      <c r="J131" s="16">
        <f>Source!AT64</f>
        <v>88</v>
      </c>
      <c r="K131" s="16">
        <f>Source!X64</f>
        <v>2672.63</v>
      </c>
      <c r="L131" s="14"/>
      <c r="X131">
        <f>ROUND((Source!FX64/100)*(ROUND((Source!CT64/IF(Source!BA64&lt;&gt;0,Source!BA64,1)*Source!I64),2)+ROUND((Source!CS64/IF(Source!BS64&lt;&gt;0,Source!BS64,1)*Source!I64),2)),2)</f>
        <v>177.05</v>
      </c>
    </row>
    <row r="132" spans="1:25" ht="15">
      <c r="A132" s="14"/>
      <c r="B132" s="14"/>
      <c r="C132" s="14" t="s">
        <v>123</v>
      </c>
      <c r="D132" s="17" t="s">
        <v>431</v>
      </c>
      <c r="E132" s="14"/>
      <c r="F132" s="16">
        <f>Source!CA64</f>
        <v>60</v>
      </c>
      <c r="G132" s="14"/>
      <c r="H132" s="16">
        <f>Y132</f>
        <v>102.14</v>
      </c>
      <c r="I132" s="14" t="str">
        <f>Source!FW64</f>
        <v>((*0.8))</v>
      </c>
      <c r="J132" s="16">
        <f>Source!AU64</f>
        <v>48</v>
      </c>
      <c r="K132" s="16">
        <f>Source!Y64</f>
        <v>1457.8</v>
      </c>
      <c r="L132" s="14"/>
      <c r="Y132">
        <f>ROUND((Source!FY64/100)*(ROUND((Source!CT64/IF(Source!BA64&lt;&gt;0,Source!BA64,1)*Source!I64),2)+ROUND((Source!CS64/IF(Source!BS64&lt;&gt;0,Source!BS64,1)*Source!I64),2)),2)</f>
        <v>102.14</v>
      </c>
    </row>
    <row r="133" spans="1:12" ht="15">
      <c r="A133" s="34"/>
      <c r="B133" s="34"/>
      <c r="C133" s="34" t="s">
        <v>432</v>
      </c>
      <c r="D133" s="35" t="s">
        <v>433</v>
      </c>
      <c r="E133" s="34">
        <f>Source!AQ64</f>
        <v>0.53</v>
      </c>
      <c r="F133" s="34"/>
      <c r="G133" s="36">
        <f>Source!DI64</f>
      </c>
      <c r="H133" s="34"/>
      <c r="I133" s="34"/>
      <c r="J133" s="34"/>
      <c r="K133" s="34"/>
      <c r="L133" s="37">
        <f>Source!U64</f>
        <v>20.14</v>
      </c>
    </row>
    <row r="134" spans="1:23" ht="15.75">
      <c r="A134" s="14"/>
      <c r="B134" s="14"/>
      <c r="C134" s="14"/>
      <c r="D134" s="14"/>
      <c r="E134" s="14"/>
      <c r="F134" s="14"/>
      <c r="G134" s="14"/>
      <c r="H134" s="38">
        <f>ROUND((Source!CT64/IF(Source!BA64&lt;&gt;0,Source!BA64,1)*Source!I64),2)+ROUND((Source!CR64/IF(Source!BB64&lt;&gt;0,Source!BB64,1)*Source!I64),2)+H131+H132</f>
        <v>449.43</v>
      </c>
      <c r="I134" s="39"/>
      <c r="J134" s="39"/>
      <c r="K134" s="38">
        <f>Source!S64+Source!Q64+K131+K132</f>
        <v>7167.51</v>
      </c>
      <c r="L134" s="38">
        <f>Source!U64</f>
        <v>20.14</v>
      </c>
      <c r="M134" s="33">
        <f>H134</f>
        <v>449.43</v>
      </c>
      <c r="N134">
        <f>ROUND((Source!CT64/IF(Source!BA64&lt;&gt;0,Source!BA64,1)*Source!I64),2)</f>
        <v>170.24</v>
      </c>
      <c r="O134">
        <f>IF(Source!BI64=1,((((Source!CT64/IF(Source!BA64&lt;&gt;0,Source!BA64,1)*Source!I64)+(Source!CR64/IF(Source!BB64&lt;&gt;0,Source!BB64,1)*Source!I64)+(Source!CQ64/IF(Source!BC64&lt;&gt;0,Source!BC64,1)*Source!I64))+((Source!FX64/100)*((Source!CT64/IF(Source!BA64&lt;&gt;0,Source!BA64,1)*Source!I64)+(Source!CS64/IF(Source!BS64&lt;&gt;0,Source!BS64,1)*Source!I64)))+((Source!FY64/100)*((Source!CT64/IF(Source!BA64&lt;&gt;0,Source!BA64,1)*Source!I64)+(Source!CS64/IF(Source!BS64&lt;&gt;0,Source!BS64,1)*Source!I64))))),0)</f>
        <v>449.43360000000007</v>
      </c>
      <c r="P134">
        <f>IF(Source!BI64=2,((((Source!CT64/IF(Source!BA64&lt;&gt;0,Source!BA64,1)*Source!I64)+(Source!CR64/IF(Source!BB64&lt;&gt;0,Source!BB64,1)*Source!I64)+(Source!CQ64/IF(Source!BC64&lt;&gt;0,Source!BC64,1)*Source!I64))+((Source!FX64/100)*((Source!CT64/IF(Source!BA64&lt;&gt;0,Source!BA64,1)*Source!I64)+(Source!CS64/IF(Source!BS64&lt;&gt;0,Source!BS64,1)*Source!I64)))+((Source!FY64/100)*((Source!CT64/IF(Source!BA64&lt;&gt;0,Source!BA64,1)*Source!I64)+(Source!CS64/IF(Source!BS64&lt;&gt;0,Source!BS64,1)*Source!I64))))),0)</f>
        <v>0</v>
      </c>
      <c r="Q134">
        <f>IF(Source!BI64=3,((((Source!CT64/IF(Source!BA64&lt;&gt;0,Source!BA64,1)*Source!I64)+(Source!CR64/IF(Source!BB64&lt;&gt;0,Source!BB64,1)*Source!I64)+(Source!CQ64/IF(Source!BC64&lt;&gt;0,Source!BC64,1)*Source!I64))+((Source!FX64/100)*((Source!CT64/IF(Source!BA64&lt;&gt;0,Source!BA64,1)*Source!I64)+(Source!CS64/IF(Source!BS64&lt;&gt;0,Source!BS64,1)*Source!I64)))+((Source!FY64/100)*((Source!CT64/IF(Source!BA64&lt;&gt;0,Source!BA64,1)*Source!I64)+(Source!CS64/IF(Source!BS64&lt;&gt;0,Source!BS64,1)*Source!I64))))),0)</f>
        <v>0</v>
      </c>
      <c r="R134">
        <f>IF(Source!BI64=4,((((Source!CT64/IF(Source!BA64&lt;&gt;0,Source!BA64,1)*Source!I64)+(Source!CR64/IF(Source!BB64&lt;&gt;0,Source!BB64,1)*Source!I64)+(Source!CQ64/IF(Source!BC64&lt;&gt;0,Source!BC64,1)*Source!I64))+((Source!FX64/100)*((Source!CT64/IF(Source!BA64&lt;&gt;0,Source!BA64,1)*Source!I64)+(Source!CS64/IF(Source!BS64&lt;&gt;0,Source!BS64,1)*Source!I64)))+((Source!FY64/100)*((Source!CT64/IF(Source!BA64&lt;&gt;0,Source!BA64,1)*Source!I64)+(Source!CS64/IF(Source!BS64&lt;&gt;0,Source!BS64,1)*Source!I64))))),0)</f>
        <v>0</v>
      </c>
      <c r="S134">
        <f>IF(Source!BI64=1,Source!O64+Source!X64+Source!Y64,0)</f>
        <v>7167.51</v>
      </c>
      <c r="T134">
        <f>IF(Source!BI64=2,Source!O64+Source!X64+Source!Y64,0)</f>
        <v>0</v>
      </c>
      <c r="U134">
        <f>IF(Source!BI64=3,Source!O64+Source!X64+Source!Y64,0)</f>
        <v>0</v>
      </c>
      <c r="V134">
        <f>IF(Source!BI64=4,Source!O64+Source!X64+Source!Y64,0)</f>
        <v>0</v>
      </c>
      <c r="W134">
        <f>ROUND((Source!CS64/IF(Source!BS64&lt;&gt;0,Source!BS64,1)*Source!I64),2)</f>
        <v>0</v>
      </c>
    </row>
    <row r="135" spans="1:12" ht="45">
      <c r="A135" s="29" t="str">
        <f>Source!E65</f>
        <v>14</v>
      </c>
      <c r="B135" s="29" t="str">
        <f>Source!F65</f>
        <v>68-6-2</v>
      </c>
      <c r="C135" s="30" t="str">
        <f>Source!G65</f>
        <v>Омоложение живых изгородей: мягких с обрезкой побегов на пень до 100 %</v>
      </c>
      <c r="D135" s="31" t="str">
        <f>Source!H65</f>
        <v>м</v>
      </c>
      <c r="E135" s="14">
        <f>ROUND(Source!I65,6)</f>
        <v>94</v>
      </c>
      <c r="F135" s="16">
        <f>IF(Source!AK65&lt;&gt;0,Source!AK65,Source!AL65+Source!AM65+Source!AO65)</f>
        <v>1.92</v>
      </c>
      <c r="G135" s="14"/>
      <c r="H135" s="14"/>
      <c r="I135" s="32" t="str">
        <f>IF(Source!BO65&lt;&gt;"",Source!BO65,"")</f>
        <v>68-6-2</v>
      </c>
      <c r="J135" s="14"/>
      <c r="K135" s="14"/>
      <c r="L135" s="14"/>
    </row>
    <row r="136" spans="1:12" ht="15">
      <c r="A136" s="14"/>
      <c r="B136" s="14"/>
      <c r="C136" s="14" t="s">
        <v>429</v>
      </c>
      <c r="D136" s="14"/>
      <c r="E136" s="14"/>
      <c r="F136" s="16">
        <f>Source!AO65</f>
        <v>1.92</v>
      </c>
      <c r="G136" s="32">
        <f>Source!DG65</f>
      </c>
      <c r="H136" s="16">
        <f>ROUND((Source!CT65/IF(Source!BA65&lt;&gt;0,Source!BA65,1)*Source!I65),2)</f>
        <v>180.48</v>
      </c>
      <c r="I136" s="14"/>
      <c r="J136" s="14">
        <f>Source!BA65</f>
        <v>17.84</v>
      </c>
      <c r="K136" s="16">
        <f>Source!S65</f>
        <v>3219.76</v>
      </c>
      <c r="L136" s="14"/>
    </row>
    <row r="137" spans="1:24" ht="15">
      <c r="A137" s="14"/>
      <c r="B137" s="14"/>
      <c r="C137" s="14" t="s">
        <v>430</v>
      </c>
      <c r="D137" s="17" t="s">
        <v>431</v>
      </c>
      <c r="E137" s="14"/>
      <c r="F137" s="16">
        <f>Source!BZ65</f>
        <v>104</v>
      </c>
      <c r="G137" s="14"/>
      <c r="H137" s="16">
        <f>X137</f>
        <v>187.7</v>
      </c>
      <c r="I137" s="14" t="str">
        <f>Source!FV65</f>
        <v>((*0.85))</v>
      </c>
      <c r="J137" s="16">
        <f>Source!AT65</f>
        <v>88</v>
      </c>
      <c r="K137" s="16">
        <f>Source!X65</f>
        <v>2833.39</v>
      </c>
      <c r="L137" s="14"/>
      <c r="X137">
        <f>ROUND((Source!FX65/100)*(ROUND((Source!CT65/IF(Source!BA65&lt;&gt;0,Source!BA65,1)*Source!I65),2)+ROUND((Source!CS65/IF(Source!BS65&lt;&gt;0,Source!BS65,1)*Source!I65),2)),2)</f>
        <v>187.7</v>
      </c>
    </row>
    <row r="138" spans="1:25" ht="15">
      <c r="A138" s="14"/>
      <c r="B138" s="14"/>
      <c r="C138" s="14" t="s">
        <v>123</v>
      </c>
      <c r="D138" s="17" t="s">
        <v>431</v>
      </c>
      <c r="E138" s="14"/>
      <c r="F138" s="16">
        <f>Source!CA65</f>
        <v>60</v>
      </c>
      <c r="G138" s="14"/>
      <c r="H138" s="16">
        <f>Y138</f>
        <v>108.29</v>
      </c>
      <c r="I138" s="14" t="str">
        <f>Source!FW65</f>
        <v>((*0.8))</v>
      </c>
      <c r="J138" s="16">
        <f>Source!AU65</f>
        <v>48</v>
      </c>
      <c r="K138" s="16">
        <f>Source!Y65</f>
        <v>1545.48</v>
      </c>
      <c r="L138" s="14"/>
      <c r="Y138">
        <f>ROUND((Source!FY65/100)*(ROUND((Source!CT65/IF(Source!BA65&lt;&gt;0,Source!BA65,1)*Source!I65),2)+ROUND((Source!CS65/IF(Source!BS65&lt;&gt;0,Source!BS65,1)*Source!I65),2)),2)</f>
        <v>108.29</v>
      </c>
    </row>
    <row r="139" spans="1:12" ht="15">
      <c r="A139" s="34"/>
      <c r="B139" s="34"/>
      <c r="C139" s="34" t="s">
        <v>432</v>
      </c>
      <c r="D139" s="35" t="s">
        <v>433</v>
      </c>
      <c r="E139" s="34">
        <f>Source!AQ65</f>
        <v>0.25</v>
      </c>
      <c r="F139" s="34"/>
      <c r="G139" s="36">
        <f>Source!DI65</f>
      </c>
      <c r="H139" s="34"/>
      <c r="I139" s="34"/>
      <c r="J139" s="34"/>
      <c r="K139" s="34"/>
      <c r="L139" s="37">
        <f>Source!U65</f>
        <v>23.5</v>
      </c>
    </row>
    <row r="140" spans="1:23" ht="15.75">
      <c r="A140" s="14"/>
      <c r="B140" s="14"/>
      <c r="C140" s="14"/>
      <c r="D140" s="14"/>
      <c r="E140" s="14"/>
      <c r="F140" s="14"/>
      <c r="G140" s="14"/>
      <c r="H140" s="38">
        <f>ROUND((Source!CT65/IF(Source!BA65&lt;&gt;0,Source!BA65,1)*Source!I65),2)+ROUND((Source!CR65/IF(Source!BB65&lt;&gt;0,Source!BB65,1)*Source!I65),2)+H137+H138</f>
        <v>476.46999999999997</v>
      </c>
      <c r="I140" s="39"/>
      <c r="J140" s="39"/>
      <c r="K140" s="38">
        <f>Source!S65+Source!Q65+K137+K138</f>
        <v>7598.629999999999</v>
      </c>
      <c r="L140" s="38">
        <f>Source!U65</f>
        <v>23.5</v>
      </c>
      <c r="M140" s="33">
        <f>H140</f>
        <v>476.46999999999997</v>
      </c>
      <c r="N140">
        <f>ROUND((Source!CT65/IF(Source!BA65&lt;&gt;0,Source!BA65,1)*Source!I65),2)</f>
        <v>180.48</v>
      </c>
      <c r="O140">
        <f>IF(Source!BI65=1,((((Source!CT65/IF(Source!BA65&lt;&gt;0,Source!BA65,1)*Source!I65)+(Source!CR65/IF(Source!BB65&lt;&gt;0,Source!BB65,1)*Source!I65)+(Source!CQ65/IF(Source!BC65&lt;&gt;0,Source!BC65,1)*Source!I65))+((Source!FX65/100)*((Source!CT65/IF(Source!BA65&lt;&gt;0,Source!BA65,1)*Source!I65)+(Source!CS65/IF(Source!BS65&lt;&gt;0,Source!BS65,1)*Source!I65)))+((Source!FY65/100)*((Source!CT65/IF(Source!BA65&lt;&gt;0,Source!BA65,1)*Source!I65)+(Source!CS65/IF(Source!BS65&lt;&gt;0,Source!BS65,1)*Source!I65))))),0)</f>
        <v>476.46720000000005</v>
      </c>
      <c r="P140">
        <f>IF(Source!BI65=2,((((Source!CT65/IF(Source!BA65&lt;&gt;0,Source!BA65,1)*Source!I65)+(Source!CR65/IF(Source!BB65&lt;&gt;0,Source!BB65,1)*Source!I65)+(Source!CQ65/IF(Source!BC65&lt;&gt;0,Source!BC65,1)*Source!I65))+((Source!FX65/100)*((Source!CT65/IF(Source!BA65&lt;&gt;0,Source!BA65,1)*Source!I65)+(Source!CS65/IF(Source!BS65&lt;&gt;0,Source!BS65,1)*Source!I65)))+((Source!FY65/100)*((Source!CT65/IF(Source!BA65&lt;&gt;0,Source!BA65,1)*Source!I65)+(Source!CS65/IF(Source!BS65&lt;&gt;0,Source!BS65,1)*Source!I65))))),0)</f>
        <v>0</v>
      </c>
      <c r="Q140">
        <f>IF(Source!BI65=3,((((Source!CT65/IF(Source!BA65&lt;&gt;0,Source!BA65,1)*Source!I65)+(Source!CR65/IF(Source!BB65&lt;&gt;0,Source!BB65,1)*Source!I65)+(Source!CQ65/IF(Source!BC65&lt;&gt;0,Source!BC65,1)*Source!I65))+((Source!FX65/100)*((Source!CT65/IF(Source!BA65&lt;&gt;0,Source!BA65,1)*Source!I65)+(Source!CS65/IF(Source!BS65&lt;&gt;0,Source!BS65,1)*Source!I65)))+((Source!FY65/100)*((Source!CT65/IF(Source!BA65&lt;&gt;0,Source!BA65,1)*Source!I65)+(Source!CS65/IF(Source!BS65&lt;&gt;0,Source!BS65,1)*Source!I65))))),0)</f>
        <v>0</v>
      </c>
      <c r="R140">
        <f>IF(Source!BI65=4,((((Source!CT65/IF(Source!BA65&lt;&gt;0,Source!BA65,1)*Source!I65)+(Source!CR65/IF(Source!BB65&lt;&gt;0,Source!BB65,1)*Source!I65)+(Source!CQ65/IF(Source!BC65&lt;&gt;0,Source!BC65,1)*Source!I65))+((Source!FX65/100)*((Source!CT65/IF(Source!BA65&lt;&gt;0,Source!BA65,1)*Source!I65)+(Source!CS65/IF(Source!BS65&lt;&gt;0,Source!BS65,1)*Source!I65)))+((Source!FY65/100)*((Source!CT65/IF(Source!BA65&lt;&gt;0,Source!BA65,1)*Source!I65)+(Source!CS65/IF(Source!BS65&lt;&gt;0,Source!BS65,1)*Source!I65))))),0)</f>
        <v>0</v>
      </c>
      <c r="S140">
        <f>IF(Source!BI65=1,Source!O65+Source!X65+Source!Y65,0)</f>
        <v>7598.629999999999</v>
      </c>
      <c r="T140">
        <f>IF(Source!BI65=2,Source!O65+Source!X65+Source!Y65,0)</f>
        <v>0</v>
      </c>
      <c r="U140">
        <f>IF(Source!BI65=3,Source!O65+Source!X65+Source!Y65,0)</f>
        <v>0</v>
      </c>
      <c r="V140">
        <f>IF(Source!BI65=4,Source!O65+Source!X65+Source!Y65,0)</f>
        <v>0</v>
      </c>
      <c r="W140">
        <f>ROUND((Source!CS65/IF(Source!BS65&lt;&gt;0,Source!BS65,1)*Source!I65),2)</f>
        <v>0</v>
      </c>
    </row>
    <row r="141" spans="1:12" ht="30">
      <c r="A141" s="29" t="str">
        <f>Source!E66</f>
        <v>15</v>
      </c>
      <c r="B141" s="29" t="str">
        <f>Source!F66</f>
        <v>07-01-055-11</v>
      </c>
      <c r="C141" s="30" t="str">
        <f>Source!G66</f>
        <v>Демонтаж столбов</v>
      </c>
      <c r="D141" s="31" t="str">
        <f>Source!H66</f>
        <v>100 шт.</v>
      </c>
      <c r="E141" s="14">
        <f>ROUND(Source!I66,6)</f>
        <v>0.02</v>
      </c>
      <c r="F141" s="16">
        <f>IF(Source!AK66&lt;&gt;0,Source!AK66,Source!AL66+Source!AM66+Source!AO66)</f>
        <v>17168.37</v>
      </c>
      <c r="G141" s="14"/>
      <c r="H141" s="14"/>
      <c r="I141" s="32" t="str">
        <f>IF(Source!BO66&lt;&gt;"",Source!BO66,"")</f>
        <v>07-01-055-11</v>
      </c>
      <c r="J141" s="14"/>
      <c r="K141" s="14"/>
      <c r="L141" s="14"/>
    </row>
    <row r="142" spans="1:12" ht="15">
      <c r="A142" s="14"/>
      <c r="B142" s="14"/>
      <c r="C142" s="14" t="s">
        <v>429</v>
      </c>
      <c r="D142" s="14"/>
      <c r="E142" s="14"/>
      <c r="F142" s="16">
        <f>Source!AO66</f>
        <v>3952.45</v>
      </c>
      <c r="G142" s="32" t="str">
        <f>Source!DG66</f>
        <v>)*0,7</v>
      </c>
      <c r="H142" s="16">
        <f>ROUND((Source!CT66/IF(Source!BA66&lt;&gt;0,Source!BA66,1)*Source!I66),2)</f>
        <v>55.33</v>
      </c>
      <c r="I142" s="14"/>
      <c r="J142" s="14">
        <f>Source!BA66</f>
        <v>17.84</v>
      </c>
      <c r="K142" s="16">
        <f>Source!S66</f>
        <v>987.16</v>
      </c>
      <c r="L142" s="14"/>
    </row>
    <row r="143" spans="1:12" ht="15">
      <c r="A143" s="14"/>
      <c r="B143" s="14"/>
      <c r="C143" s="14" t="s">
        <v>107</v>
      </c>
      <c r="D143" s="14"/>
      <c r="E143" s="14"/>
      <c r="F143" s="16">
        <f>Source!AM66</f>
        <v>12098.19</v>
      </c>
      <c r="G143" s="32" t="str">
        <f>Source!DE66</f>
        <v>)*0,7</v>
      </c>
      <c r="H143" s="16">
        <f>ROUND((Source!CR66/IF(Source!BB66&lt;&gt;0,Source!BB66,1)*Source!I66),2)</f>
        <v>169.37</v>
      </c>
      <c r="I143" s="14"/>
      <c r="J143" s="14">
        <f>Source!BB66</f>
        <v>7.2</v>
      </c>
      <c r="K143" s="16">
        <f>Source!Q66</f>
        <v>1219.5</v>
      </c>
      <c r="L143" s="14"/>
    </row>
    <row r="144" spans="1:12" ht="15">
      <c r="A144" s="14"/>
      <c r="B144" s="14"/>
      <c r="C144" s="14" t="s">
        <v>434</v>
      </c>
      <c r="D144" s="14"/>
      <c r="E144" s="14"/>
      <c r="F144" s="16">
        <f>Source!AN66</f>
        <v>1380.16</v>
      </c>
      <c r="G144" s="32" t="str">
        <f>Source!DF66</f>
        <v>)*0,7</v>
      </c>
      <c r="H144" s="40">
        <f>ROUND((Source!CS66/IF(Source!BS66&lt;&gt;0,Source!BS66,1)*Source!I66),2)</f>
        <v>19.32</v>
      </c>
      <c r="I144" s="14"/>
      <c r="J144" s="14">
        <f>Source!BS66</f>
        <v>17.84</v>
      </c>
      <c r="K144" s="40">
        <f>Source!R66</f>
        <v>344.71</v>
      </c>
      <c r="L144" s="14"/>
    </row>
    <row r="145" spans="1:24" ht="15">
      <c r="A145" s="14"/>
      <c r="B145" s="14"/>
      <c r="C145" s="14" t="s">
        <v>430</v>
      </c>
      <c r="D145" s="17" t="s">
        <v>431</v>
      </c>
      <c r="E145" s="14"/>
      <c r="F145" s="16">
        <f>Source!BZ66</f>
        <v>130</v>
      </c>
      <c r="G145" s="14"/>
      <c r="H145" s="16">
        <f>X145</f>
        <v>97.05</v>
      </c>
      <c r="I145" s="14" t="str">
        <f>Source!FV66</f>
        <v>((*0.85))</v>
      </c>
      <c r="J145" s="16">
        <f>Source!AT66</f>
        <v>111</v>
      </c>
      <c r="K145" s="16">
        <f>Source!X66</f>
        <v>1478.38</v>
      </c>
      <c r="L145" s="14"/>
      <c r="X145">
        <f>ROUND((Source!FX66/100)*(ROUND((Source!CT66/IF(Source!BA66&lt;&gt;0,Source!BA66,1)*Source!I66),2)+ROUND((Source!CS66/IF(Source!BS66&lt;&gt;0,Source!BS66,1)*Source!I66),2)),2)</f>
        <v>97.05</v>
      </c>
    </row>
    <row r="146" spans="1:25" ht="15">
      <c r="A146" s="14"/>
      <c r="B146" s="14"/>
      <c r="C146" s="14" t="s">
        <v>123</v>
      </c>
      <c r="D146" s="17" t="s">
        <v>431</v>
      </c>
      <c r="E146" s="14"/>
      <c r="F146" s="16">
        <f>Source!CA66</f>
        <v>85</v>
      </c>
      <c r="G146" s="14"/>
      <c r="H146" s="16">
        <f>Y146</f>
        <v>63.45</v>
      </c>
      <c r="I146" s="14" t="str">
        <f>Source!FW66</f>
        <v>((*0.8))</v>
      </c>
      <c r="J146" s="16">
        <f>Source!AU66</f>
        <v>68</v>
      </c>
      <c r="K146" s="16">
        <f>Source!Y66</f>
        <v>905.67</v>
      </c>
      <c r="L146" s="14"/>
      <c r="Y146">
        <f>ROUND((Source!FY66/100)*(ROUND((Source!CT66/IF(Source!BA66&lt;&gt;0,Source!BA66,1)*Source!I66),2)+ROUND((Source!CS66/IF(Source!BS66&lt;&gt;0,Source!BS66,1)*Source!I66),2)),2)</f>
        <v>63.45</v>
      </c>
    </row>
    <row r="147" spans="1:12" ht="15">
      <c r="A147" s="34"/>
      <c r="B147" s="34"/>
      <c r="C147" s="34" t="s">
        <v>432</v>
      </c>
      <c r="D147" s="35" t="s">
        <v>433</v>
      </c>
      <c r="E147" s="34">
        <f>Source!AQ66</f>
        <v>430.55</v>
      </c>
      <c r="F147" s="34"/>
      <c r="G147" s="36" t="str">
        <f>Source!DI66</f>
        <v>)*0,7</v>
      </c>
      <c r="H147" s="34"/>
      <c r="I147" s="34"/>
      <c r="J147" s="34"/>
      <c r="K147" s="34"/>
      <c r="L147" s="37">
        <f>Source!U66</f>
        <v>6.0277</v>
      </c>
    </row>
    <row r="148" spans="1:23" ht="15.75">
      <c r="A148" s="14"/>
      <c r="B148" s="14"/>
      <c r="C148" s="14"/>
      <c r="D148" s="14"/>
      <c r="E148" s="14"/>
      <c r="F148" s="14"/>
      <c r="G148" s="14"/>
      <c r="H148" s="38">
        <f>ROUND((Source!CT66/IF(Source!BA66&lt;&gt;0,Source!BA66,1)*Source!I66),2)+ROUND((Source!CR66/IF(Source!BB66&lt;&gt;0,Source!BB66,1)*Source!I66),2)+H145+H146</f>
        <v>385.2</v>
      </c>
      <c r="I148" s="39"/>
      <c r="J148" s="39"/>
      <c r="K148" s="38">
        <f>Source!S66+Source!Q66+K145+K146</f>
        <v>4590.71</v>
      </c>
      <c r="L148" s="38">
        <f>Source!U66</f>
        <v>6.0277</v>
      </c>
      <c r="M148" s="33">
        <f>H148</f>
        <v>385.2</v>
      </c>
      <c r="N148">
        <f>ROUND((Source!CT66/IF(Source!BA66&lt;&gt;0,Source!BA66,1)*Source!I66),2)</f>
        <v>55.33</v>
      </c>
      <c r="O148">
        <f>IF(Source!BI66=1,((((Source!CT66/IF(Source!BA66&lt;&gt;0,Source!BA66,1)*Source!I66)+(Source!CR66/IF(Source!BB66&lt;&gt;0,Source!BB66,1)*Source!I66)+(Source!CQ66/IF(Source!BC66&lt;&gt;0,Source!BC66,1)*Source!I66))+((Source!FX66/100)*((Source!CT66/IF(Source!BA66&lt;&gt;0,Source!BA66,1)*Source!I66)+(Source!CS66/IF(Source!BS66&lt;&gt;0,Source!BS66,1)*Source!I66)))+((Source!FY66/100)*((Source!CT66/IF(Source!BA66&lt;&gt;0,Source!BA66,1)*Source!I66)+(Source!CS66/IF(Source!BS66&lt;&gt;0,Source!BS66,1)*Source!I66))))),0)</f>
        <v>385.22052099999996</v>
      </c>
      <c r="P148">
        <f>IF(Source!BI66=2,((((Source!CT66/IF(Source!BA66&lt;&gt;0,Source!BA66,1)*Source!I66)+(Source!CR66/IF(Source!BB66&lt;&gt;0,Source!BB66,1)*Source!I66)+(Source!CQ66/IF(Source!BC66&lt;&gt;0,Source!BC66,1)*Source!I66))+((Source!FX66/100)*((Source!CT66/IF(Source!BA66&lt;&gt;0,Source!BA66,1)*Source!I66)+(Source!CS66/IF(Source!BS66&lt;&gt;0,Source!BS66,1)*Source!I66)))+((Source!FY66/100)*((Source!CT66/IF(Source!BA66&lt;&gt;0,Source!BA66,1)*Source!I66)+(Source!CS66/IF(Source!BS66&lt;&gt;0,Source!BS66,1)*Source!I66))))),0)</f>
        <v>0</v>
      </c>
      <c r="Q148">
        <f>IF(Source!BI66=3,((((Source!CT66/IF(Source!BA66&lt;&gt;0,Source!BA66,1)*Source!I66)+(Source!CR66/IF(Source!BB66&lt;&gt;0,Source!BB66,1)*Source!I66)+(Source!CQ66/IF(Source!BC66&lt;&gt;0,Source!BC66,1)*Source!I66))+((Source!FX66/100)*((Source!CT66/IF(Source!BA66&lt;&gt;0,Source!BA66,1)*Source!I66)+(Source!CS66/IF(Source!BS66&lt;&gt;0,Source!BS66,1)*Source!I66)))+((Source!FY66/100)*((Source!CT66/IF(Source!BA66&lt;&gt;0,Source!BA66,1)*Source!I66)+(Source!CS66/IF(Source!BS66&lt;&gt;0,Source!BS66,1)*Source!I66))))),0)</f>
        <v>0</v>
      </c>
      <c r="R148">
        <f>IF(Source!BI66=4,((((Source!CT66/IF(Source!BA66&lt;&gt;0,Source!BA66,1)*Source!I66)+(Source!CR66/IF(Source!BB66&lt;&gt;0,Source!BB66,1)*Source!I66)+(Source!CQ66/IF(Source!BC66&lt;&gt;0,Source!BC66,1)*Source!I66))+((Source!FX66/100)*((Source!CT66/IF(Source!BA66&lt;&gt;0,Source!BA66,1)*Source!I66)+(Source!CS66/IF(Source!BS66&lt;&gt;0,Source!BS66,1)*Source!I66)))+((Source!FY66/100)*((Source!CT66/IF(Source!BA66&lt;&gt;0,Source!BA66,1)*Source!I66)+(Source!CS66/IF(Source!BS66&lt;&gt;0,Source!BS66,1)*Source!I66))))),0)</f>
        <v>0</v>
      </c>
      <c r="S148">
        <f>IF(Source!BI66=1,Source!O66+Source!X66+Source!Y66,0)</f>
        <v>4590.71</v>
      </c>
      <c r="T148">
        <f>IF(Source!BI66=2,Source!O66+Source!X66+Source!Y66,0)</f>
        <v>0</v>
      </c>
      <c r="U148">
        <f>IF(Source!BI66=3,Source!O66+Source!X66+Source!Y66,0)</f>
        <v>0</v>
      </c>
      <c r="V148">
        <f>IF(Source!BI66=4,Source!O66+Source!X66+Source!Y66,0)</f>
        <v>0</v>
      </c>
      <c r="W148">
        <f>ROUND((Source!CS66/IF(Source!BS66&lt;&gt;0,Source!BS66,1)*Source!I66),2)</f>
        <v>19.32</v>
      </c>
    </row>
    <row r="149" spans="1:12" ht="30">
      <c r="A149" s="29" t="str">
        <f>Source!E67</f>
        <v>16</v>
      </c>
      <c r="B149" s="29" t="str">
        <f>Source!F67</f>
        <v>68-4-2</v>
      </c>
      <c r="C149" s="30" t="str">
        <f>Source!G67</f>
        <v>Выкашивание газонов: газонокосилкой</v>
      </c>
      <c r="D149" s="31" t="str">
        <f>Source!H67</f>
        <v>100 м2</v>
      </c>
      <c r="E149" s="14">
        <f>ROUND(Source!I67,6)</f>
        <v>42.3</v>
      </c>
      <c r="F149" s="16">
        <f>IF(Source!AK67&lt;&gt;0,Source!AK67,Source!AL67+Source!AM67+Source!AO67)</f>
        <v>20.09</v>
      </c>
      <c r="G149" s="14"/>
      <c r="H149" s="14"/>
      <c r="I149" s="32" t="str">
        <f>IF(Source!BO67&lt;&gt;"",Source!BO67,"")</f>
        <v>68-4-2</v>
      </c>
      <c r="J149" s="14"/>
      <c r="K149" s="14"/>
      <c r="L149" s="14"/>
    </row>
    <row r="150" spans="1:12" ht="15">
      <c r="A150" s="14"/>
      <c r="B150" s="14"/>
      <c r="C150" s="14" t="s">
        <v>429</v>
      </c>
      <c r="D150" s="14"/>
      <c r="E150" s="14"/>
      <c r="F150" s="16">
        <f>Source!AO67</f>
        <v>7.71</v>
      </c>
      <c r="G150" s="32">
        <f>Source!DG67</f>
      </c>
      <c r="H150" s="16">
        <f>ROUND((Source!CT67/IF(Source!BA67&lt;&gt;0,Source!BA67,1)*Source!I67),2)</f>
        <v>326.13</v>
      </c>
      <c r="I150" s="14"/>
      <c r="J150" s="14">
        <f>Source!BA67</f>
        <v>17.84</v>
      </c>
      <c r="K150" s="16">
        <f>Source!S67</f>
        <v>5818.21</v>
      </c>
      <c r="L150" s="14"/>
    </row>
    <row r="151" spans="1:12" ht="15">
      <c r="A151" s="14"/>
      <c r="B151" s="14"/>
      <c r="C151" s="14" t="s">
        <v>107</v>
      </c>
      <c r="D151" s="14"/>
      <c r="E151" s="14"/>
      <c r="F151" s="16">
        <f>Source!AM67</f>
        <v>12.38</v>
      </c>
      <c r="G151" s="32">
        <f>Source!DE67</f>
      </c>
      <c r="H151" s="16">
        <f>ROUND((Source!CR67/IF(Source!BB67&lt;&gt;0,Source!BB67,1)*Source!I67),2)</f>
        <v>523.67</v>
      </c>
      <c r="I151" s="14"/>
      <c r="J151" s="14">
        <f>Source!BB67</f>
        <v>5.88</v>
      </c>
      <c r="K151" s="16">
        <f>Source!Q67</f>
        <v>3079.2</v>
      </c>
      <c r="L151" s="14"/>
    </row>
    <row r="152" spans="1:24" ht="15">
      <c r="A152" s="14"/>
      <c r="B152" s="14"/>
      <c r="C152" s="14" t="s">
        <v>430</v>
      </c>
      <c r="D152" s="17" t="s">
        <v>431</v>
      </c>
      <c r="E152" s="14"/>
      <c r="F152" s="16">
        <f>Source!BZ67</f>
        <v>104</v>
      </c>
      <c r="G152" s="14"/>
      <c r="H152" s="16">
        <f>X152</f>
        <v>339.18</v>
      </c>
      <c r="I152" s="14" t="str">
        <f>Source!FV67</f>
        <v>((*0.85))</v>
      </c>
      <c r="J152" s="16">
        <f>Source!AT67</f>
        <v>88</v>
      </c>
      <c r="K152" s="16">
        <f>Source!X67</f>
        <v>5120.02</v>
      </c>
      <c r="L152" s="14"/>
      <c r="X152">
        <f>ROUND((Source!FX67/100)*(ROUND((Source!CT67/IF(Source!BA67&lt;&gt;0,Source!BA67,1)*Source!I67),2)+ROUND((Source!CS67/IF(Source!BS67&lt;&gt;0,Source!BS67,1)*Source!I67),2)),2)</f>
        <v>339.18</v>
      </c>
    </row>
    <row r="153" spans="1:25" ht="15">
      <c r="A153" s="14"/>
      <c r="B153" s="14"/>
      <c r="C153" s="14" t="s">
        <v>123</v>
      </c>
      <c r="D153" s="17" t="s">
        <v>431</v>
      </c>
      <c r="E153" s="14"/>
      <c r="F153" s="16">
        <f>Source!CA67</f>
        <v>60</v>
      </c>
      <c r="G153" s="14"/>
      <c r="H153" s="16">
        <f>Y153</f>
        <v>195.68</v>
      </c>
      <c r="I153" s="14" t="str">
        <f>Source!FW67</f>
        <v>((*0.8))</v>
      </c>
      <c r="J153" s="16">
        <f>Source!AU67</f>
        <v>48</v>
      </c>
      <c r="K153" s="16">
        <f>Source!Y67</f>
        <v>2792.74</v>
      </c>
      <c r="L153" s="14"/>
      <c r="Y153">
        <f>ROUND((Source!FY67/100)*(ROUND((Source!CT67/IF(Source!BA67&lt;&gt;0,Source!BA67,1)*Source!I67),2)+ROUND((Source!CS67/IF(Source!BS67&lt;&gt;0,Source!BS67,1)*Source!I67),2)),2)</f>
        <v>195.68</v>
      </c>
    </row>
    <row r="154" spans="1:12" ht="15">
      <c r="A154" s="34"/>
      <c r="B154" s="34"/>
      <c r="C154" s="34" t="s">
        <v>432</v>
      </c>
      <c r="D154" s="35" t="s">
        <v>433</v>
      </c>
      <c r="E154" s="34">
        <f>Source!AQ67</f>
        <v>0.98</v>
      </c>
      <c r="F154" s="34"/>
      <c r="G154" s="36">
        <f>Source!DI67</f>
      </c>
      <c r="H154" s="34"/>
      <c r="I154" s="34"/>
      <c r="J154" s="34"/>
      <c r="K154" s="34"/>
      <c r="L154" s="37">
        <f>Source!U67</f>
        <v>41.45399999999999</v>
      </c>
    </row>
    <row r="155" spans="1:23" ht="15.75">
      <c r="A155" s="14"/>
      <c r="B155" s="14"/>
      <c r="C155" s="14"/>
      <c r="D155" s="14"/>
      <c r="E155" s="14"/>
      <c r="F155" s="14"/>
      <c r="G155" s="14"/>
      <c r="H155" s="38">
        <f>ROUND((Source!CT67/IF(Source!BA67&lt;&gt;0,Source!BA67,1)*Source!I67),2)+ROUND((Source!CR67/IF(Source!BB67&lt;&gt;0,Source!BB67,1)*Source!I67),2)+H152+H153</f>
        <v>1384.66</v>
      </c>
      <c r="I155" s="39"/>
      <c r="J155" s="39"/>
      <c r="K155" s="38">
        <f>Source!S67+Source!Q67+K152+K153</f>
        <v>16810.17</v>
      </c>
      <c r="L155" s="38">
        <f>Source!U67</f>
        <v>41.45399999999999</v>
      </c>
      <c r="M155" s="33">
        <f>H155</f>
        <v>1384.66</v>
      </c>
      <c r="N155">
        <f>ROUND((Source!CT67/IF(Source!BA67&lt;&gt;0,Source!BA67,1)*Source!I67),2)</f>
        <v>326.13</v>
      </c>
      <c r="O155">
        <f>IF(Source!BI67=1,((((Source!CT67/IF(Source!BA67&lt;&gt;0,Source!BA67,1)*Source!I67)+(Source!CR67/IF(Source!BB67&lt;&gt;0,Source!BB67,1)*Source!I67)+(Source!CQ67/IF(Source!BC67&lt;&gt;0,Source!BC67,1)*Source!I67))+((Source!FX67/100)*((Source!CT67/IF(Source!BA67&lt;&gt;0,Source!BA67,1)*Source!I67)+(Source!CS67/IF(Source!BS67&lt;&gt;0,Source!BS67,1)*Source!I67)))+((Source!FY67/100)*((Source!CT67/IF(Source!BA67&lt;&gt;0,Source!BA67,1)*Source!I67)+(Source!CS67/IF(Source!BS67&lt;&gt;0,Source!BS67,1)*Source!I67))))),0)</f>
        <v>1384.66512</v>
      </c>
      <c r="P155">
        <f>IF(Source!BI67=2,((((Source!CT67/IF(Source!BA67&lt;&gt;0,Source!BA67,1)*Source!I67)+(Source!CR67/IF(Source!BB67&lt;&gt;0,Source!BB67,1)*Source!I67)+(Source!CQ67/IF(Source!BC67&lt;&gt;0,Source!BC67,1)*Source!I67))+((Source!FX67/100)*((Source!CT67/IF(Source!BA67&lt;&gt;0,Source!BA67,1)*Source!I67)+(Source!CS67/IF(Source!BS67&lt;&gt;0,Source!BS67,1)*Source!I67)))+((Source!FY67/100)*((Source!CT67/IF(Source!BA67&lt;&gt;0,Source!BA67,1)*Source!I67)+(Source!CS67/IF(Source!BS67&lt;&gt;0,Source!BS67,1)*Source!I67))))),0)</f>
        <v>0</v>
      </c>
      <c r="Q155">
        <f>IF(Source!BI67=3,((((Source!CT67/IF(Source!BA67&lt;&gt;0,Source!BA67,1)*Source!I67)+(Source!CR67/IF(Source!BB67&lt;&gt;0,Source!BB67,1)*Source!I67)+(Source!CQ67/IF(Source!BC67&lt;&gt;0,Source!BC67,1)*Source!I67))+((Source!FX67/100)*((Source!CT67/IF(Source!BA67&lt;&gt;0,Source!BA67,1)*Source!I67)+(Source!CS67/IF(Source!BS67&lt;&gt;0,Source!BS67,1)*Source!I67)))+((Source!FY67/100)*((Source!CT67/IF(Source!BA67&lt;&gt;0,Source!BA67,1)*Source!I67)+(Source!CS67/IF(Source!BS67&lt;&gt;0,Source!BS67,1)*Source!I67))))),0)</f>
        <v>0</v>
      </c>
      <c r="R155">
        <f>IF(Source!BI67=4,((((Source!CT67/IF(Source!BA67&lt;&gt;0,Source!BA67,1)*Source!I67)+(Source!CR67/IF(Source!BB67&lt;&gt;0,Source!BB67,1)*Source!I67)+(Source!CQ67/IF(Source!BC67&lt;&gt;0,Source!BC67,1)*Source!I67))+((Source!FX67/100)*((Source!CT67/IF(Source!BA67&lt;&gt;0,Source!BA67,1)*Source!I67)+(Source!CS67/IF(Source!BS67&lt;&gt;0,Source!BS67,1)*Source!I67)))+((Source!FY67/100)*((Source!CT67/IF(Source!BA67&lt;&gt;0,Source!BA67,1)*Source!I67)+(Source!CS67/IF(Source!BS67&lt;&gt;0,Source!BS67,1)*Source!I67))))),0)</f>
        <v>0</v>
      </c>
      <c r="S155">
        <f>IF(Source!BI67=1,Source!O67+Source!X67+Source!Y67,0)</f>
        <v>16810.17</v>
      </c>
      <c r="T155">
        <f>IF(Source!BI67=2,Source!O67+Source!X67+Source!Y67,0)</f>
        <v>0</v>
      </c>
      <c r="U155">
        <f>IF(Source!BI67=3,Source!O67+Source!X67+Source!Y67,0)</f>
        <v>0</v>
      </c>
      <c r="V155">
        <f>IF(Source!BI67=4,Source!O67+Source!X67+Source!Y67,0)</f>
        <v>0</v>
      </c>
      <c r="W155">
        <f>ROUND((Source!CS67/IF(Source!BS67&lt;&gt;0,Source!BS67,1)*Source!I67),2)</f>
        <v>0</v>
      </c>
    </row>
    <row r="156" spans="1:12" ht="30">
      <c r="A156" s="29" t="str">
        <f>Source!E68</f>
        <v>17</v>
      </c>
      <c r="B156" s="29" t="str">
        <f>Source!F68</f>
        <v>Техчасть индексов</v>
      </c>
      <c r="C156" s="30" t="str">
        <f>Source!G68</f>
        <v>Погрузка  вручную</v>
      </c>
      <c r="D156" s="31" t="str">
        <f>Source!H68</f>
        <v>т</v>
      </c>
      <c r="E156" s="14">
        <f>ROUND(Source!I68,6)</f>
        <v>0.1</v>
      </c>
      <c r="F156" s="16">
        <f>IF(Source!AK68&lt;&gt;0,Source!AK68,Source!AL68+Source!AM68+Source!AO68)</f>
        <v>4.15</v>
      </c>
      <c r="G156" s="14"/>
      <c r="H156" s="14"/>
      <c r="I156" s="32">
        <f>IF(Source!BO68&lt;&gt;"",Source!BO68,"")</f>
      </c>
      <c r="J156" s="14"/>
      <c r="K156" s="14"/>
      <c r="L156" s="14"/>
    </row>
    <row r="157" spans="1:12" ht="15">
      <c r="A157" s="14"/>
      <c r="B157" s="14"/>
      <c r="C157" s="14" t="s">
        <v>429</v>
      </c>
      <c r="D157" s="14"/>
      <c r="E157" s="14"/>
      <c r="F157" s="16">
        <f>Source!AO68</f>
        <v>4.15</v>
      </c>
      <c r="G157" s="32">
        <f>Source!DG68</f>
      </c>
      <c r="H157" s="16">
        <f>ROUND((Source!CT68/IF(Source!BA68&lt;&gt;0,Source!BA68,1)*Source!I68),2)</f>
        <v>0.42</v>
      </c>
      <c r="I157" s="14"/>
      <c r="J157" s="14">
        <f>Source!BA68</f>
        <v>17.84</v>
      </c>
      <c r="K157" s="16">
        <f>Source!S68</f>
        <v>7.4</v>
      </c>
      <c r="L157" s="14"/>
    </row>
    <row r="158" spans="1:24" ht="15">
      <c r="A158" s="14"/>
      <c r="B158" s="14"/>
      <c r="C158" s="14" t="s">
        <v>430</v>
      </c>
      <c r="D158" s="17" t="s">
        <v>431</v>
      </c>
      <c r="E158" s="14"/>
      <c r="F158" s="16">
        <f>Source!BZ68</f>
        <v>100</v>
      </c>
      <c r="G158" s="14"/>
      <c r="H158" s="16">
        <f>X158</f>
        <v>0.42</v>
      </c>
      <c r="I158" s="14" t="str">
        <f>Source!FV68</f>
        <v>((*0.85))</v>
      </c>
      <c r="J158" s="16">
        <f>Source!AT68</f>
        <v>85</v>
      </c>
      <c r="K158" s="16">
        <f>Source!X68</f>
        <v>6.29</v>
      </c>
      <c r="L158" s="14"/>
      <c r="X158">
        <f>ROUND((Source!FX68/100)*(ROUND((Source!CT68/IF(Source!BA68&lt;&gt;0,Source!BA68,1)*Source!I68),2)+ROUND((Source!CS68/IF(Source!BS68&lt;&gt;0,Source!BS68,1)*Source!I68),2)),2)</f>
        <v>0.42</v>
      </c>
    </row>
    <row r="159" spans="1:25" ht="15">
      <c r="A159" s="34"/>
      <c r="B159" s="34"/>
      <c r="C159" s="34" t="s">
        <v>123</v>
      </c>
      <c r="D159" s="35" t="s">
        <v>431</v>
      </c>
      <c r="E159" s="34"/>
      <c r="F159" s="37">
        <f>Source!CA68</f>
        <v>60</v>
      </c>
      <c r="G159" s="34"/>
      <c r="H159" s="37">
        <f>Y159</f>
        <v>0.25</v>
      </c>
      <c r="I159" s="34" t="str">
        <f>Source!FW68</f>
        <v>((*0.8))</v>
      </c>
      <c r="J159" s="37">
        <f>Source!AU68</f>
        <v>48</v>
      </c>
      <c r="K159" s="37">
        <f>Source!Y68</f>
        <v>3.55</v>
      </c>
      <c r="L159" s="34"/>
      <c r="Y159">
        <f>ROUND((Source!FY68/100)*(ROUND((Source!CT68/IF(Source!BA68&lt;&gt;0,Source!BA68,1)*Source!I68),2)+ROUND((Source!CS68/IF(Source!BS68&lt;&gt;0,Source!BS68,1)*Source!I68),2)),2)</f>
        <v>0.25</v>
      </c>
    </row>
    <row r="160" spans="1:23" ht="15.75">
      <c r="A160" s="14"/>
      <c r="B160" s="14"/>
      <c r="C160" s="14"/>
      <c r="D160" s="14"/>
      <c r="E160" s="14"/>
      <c r="F160" s="14"/>
      <c r="G160" s="14"/>
      <c r="H160" s="38">
        <f>ROUND((Source!CT68/IF(Source!BA68&lt;&gt;0,Source!BA68,1)*Source!I68),2)+ROUND((Source!CR68/IF(Source!BB68&lt;&gt;0,Source!BB68,1)*Source!I68),2)+H158+H159</f>
        <v>1.0899999999999999</v>
      </c>
      <c r="I160" s="39"/>
      <c r="J160" s="39"/>
      <c r="K160" s="38">
        <f>Source!S68+Source!Q68+K158+K159</f>
        <v>17.240000000000002</v>
      </c>
      <c r="L160" s="38">
        <f>Source!U68</f>
        <v>0</v>
      </c>
      <c r="M160" s="33">
        <f>H160</f>
        <v>1.0899999999999999</v>
      </c>
      <c r="N160">
        <f>ROUND((Source!CT68/IF(Source!BA68&lt;&gt;0,Source!BA68,1)*Source!I68),2)</f>
        <v>0.42</v>
      </c>
      <c r="O160">
        <f>IF(Source!BI68=1,((((Source!CT68/IF(Source!BA68&lt;&gt;0,Source!BA68,1)*Source!I68)+(Source!CR68/IF(Source!BB68&lt;&gt;0,Source!BB68,1)*Source!I68)+(Source!CQ68/IF(Source!BC68&lt;&gt;0,Source!BC68,1)*Source!I68))+((Source!FX68/100)*((Source!CT68/IF(Source!BA68&lt;&gt;0,Source!BA68,1)*Source!I68)+(Source!CS68/IF(Source!BS68&lt;&gt;0,Source!BS68,1)*Source!I68)))+((Source!FY68/100)*((Source!CT68/IF(Source!BA68&lt;&gt;0,Source!BA68,1)*Source!I68)+(Source!CS68/IF(Source!BS68&lt;&gt;0,Source!BS68,1)*Source!I68))))),0)</f>
        <v>0</v>
      </c>
      <c r="P160">
        <f>IF(Source!BI68=2,((((Source!CT68/IF(Source!BA68&lt;&gt;0,Source!BA68,1)*Source!I68)+(Source!CR68/IF(Source!BB68&lt;&gt;0,Source!BB68,1)*Source!I68)+(Source!CQ68/IF(Source!BC68&lt;&gt;0,Source!BC68,1)*Source!I68))+((Source!FX68/100)*((Source!CT68/IF(Source!BA68&lt;&gt;0,Source!BA68,1)*Source!I68)+(Source!CS68/IF(Source!BS68&lt;&gt;0,Source!BS68,1)*Source!I68)))+((Source!FY68/100)*((Source!CT68/IF(Source!BA68&lt;&gt;0,Source!BA68,1)*Source!I68)+(Source!CS68/IF(Source!BS68&lt;&gt;0,Source!BS68,1)*Source!I68))))),0)</f>
        <v>0</v>
      </c>
      <c r="Q160">
        <f>IF(Source!BI68=3,((((Source!CT68/IF(Source!BA68&lt;&gt;0,Source!BA68,1)*Source!I68)+(Source!CR68/IF(Source!BB68&lt;&gt;0,Source!BB68,1)*Source!I68)+(Source!CQ68/IF(Source!BC68&lt;&gt;0,Source!BC68,1)*Source!I68))+((Source!FX68/100)*((Source!CT68/IF(Source!BA68&lt;&gt;0,Source!BA68,1)*Source!I68)+(Source!CS68/IF(Source!BS68&lt;&gt;0,Source!BS68,1)*Source!I68)))+((Source!FY68/100)*((Source!CT68/IF(Source!BA68&lt;&gt;0,Source!BA68,1)*Source!I68)+(Source!CS68/IF(Source!BS68&lt;&gt;0,Source!BS68,1)*Source!I68))))),0)</f>
        <v>0</v>
      </c>
      <c r="R160">
        <f>IF(Source!BI68=4,((((Source!CT68/IF(Source!BA68&lt;&gt;0,Source!BA68,1)*Source!I68)+(Source!CR68/IF(Source!BB68&lt;&gt;0,Source!BB68,1)*Source!I68)+(Source!CQ68/IF(Source!BC68&lt;&gt;0,Source!BC68,1)*Source!I68))+((Source!FX68/100)*((Source!CT68/IF(Source!BA68&lt;&gt;0,Source!BA68,1)*Source!I68)+(Source!CS68/IF(Source!BS68&lt;&gt;0,Source!BS68,1)*Source!I68)))+((Source!FY68/100)*((Source!CT68/IF(Source!BA68&lt;&gt;0,Source!BA68,1)*Source!I68)+(Source!CS68/IF(Source!BS68&lt;&gt;0,Source!BS68,1)*Source!I68))))),0)</f>
        <v>1.0790000000000002</v>
      </c>
      <c r="S160">
        <f>IF(Source!BI68=1,Source!O68+Source!X68+Source!Y68,0)</f>
        <v>0</v>
      </c>
      <c r="T160">
        <f>IF(Source!BI68=2,Source!O68+Source!X68+Source!Y68,0)</f>
        <v>0</v>
      </c>
      <c r="U160">
        <f>IF(Source!BI68=3,Source!O68+Source!X68+Source!Y68,0)</f>
        <v>0</v>
      </c>
      <c r="V160">
        <f>IF(Source!BI68=4,Source!O68+Source!X68+Source!Y68,0)</f>
        <v>17.240000000000002</v>
      </c>
      <c r="W160">
        <f>ROUND((Source!CS68/IF(Source!BS68&lt;&gt;0,Source!BS68,1)*Source!I68),2)</f>
        <v>0</v>
      </c>
    </row>
    <row r="161" spans="1:12" ht="30">
      <c r="A161" s="29" t="str">
        <f>Source!E69</f>
        <v>18</v>
      </c>
      <c r="B161" s="29" t="str">
        <f>Source!F69</f>
        <v>Техчасть индексов</v>
      </c>
      <c r="C161" s="30" t="str">
        <f>Source!G69</f>
        <v>Вывоз мусора на 10 км</v>
      </c>
      <c r="D161" s="31" t="str">
        <f>Source!H69</f>
        <v>т</v>
      </c>
      <c r="E161" s="14">
        <f>ROUND(Source!I69,6)</f>
        <v>0.1</v>
      </c>
      <c r="F161" s="16">
        <f>IF(Source!AK69&lt;&gt;0,Source!AK69,Source!AL69+Source!AM69+Source!AO69)</f>
        <v>14.63</v>
      </c>
      <c r="G161" s="14"/>
      <c r="H161" s="14"/>
      <c r="I161" s="32">
        <f>IF(Source!BO69&lt;&gt;"",Source!BO69,"")</f>
      </c>
      <c r="J161" s="14"/>
      <c r="K161" s="14"/>
      <c r="L161" s="14"/>
    </row>
    <row r="162" spans="1:12" ht="15">
      <c r="A162" s="34"/>
      <c r="B162" s="34"/>
      <c r="C162" s="34" t="s">
        <v>107</v>
      </c>
      <c r="D162" s="34"/>
      <c r="E162" s="34"/>
      <c r="F162" s="37">
        <f>Source!AM69</f>
        <v>14.63</v>
      </c>
      <c r="G162" s="36">
        <f>Source!DE69</f>
      </c>
      <c r="H162" s="37">
        <f>ROUND((Source!CR69/IF(Source!BB69&lt;&gt;0,Source!BB69,1)*Source!I69),2)</f>
        <v>1.46</v>
      </c>
      <c r="I162" s="34"/>
      <c r="J162" s="34">
        <f>Source!BB69</f>
        <v>5.32</v>
      </c>
      <c r="K162" s="37">
        <f>Source!Q69</f>
        <v>7.78</v>
      </c>
      <c r="L162" s="34"/>
    </row>
    <row r="163" spans="1:23" ht="15.75">
      <c r="A163" s="14"/>
      <c r="B163" s="14"/>
      <c r="C163" s="14"/>
      <c r="D163" s="14"/>
      <c r="E163" s="14"/>
      <c r="F163" s="14"/>
      <c r="G163" s="14"/>
      <c r="H163" s="38">
        <f>ROUND((Source!CT69/IF(Source!BA69&lt;&gt;0,Source!BA69,1)*Source!I69),2)+ROUND((Source!CR69/IF(Source!BB69&lt;&gt;0,Source!BB69,1)*Source!I69),2)</f>
        <v>1.46</v>
      </c>
      <c r="I163" s="39"/>
      <c r="J163" s="39"/>
      <c r="K163" s="38">
        <f>Source!S69+Source!Q69</f>
        <v>7.78</v>
      </c>
      <c r="L163" s="38">
        <f>Source!U69</f>
        <v>0</v>
      </c>
      <c r="M163" s="33">
        <f>H163</f>
        <v>1.46</v>
      </c>
      <c r="N163">
        <f>ROUND((Source!CT69/IF(Source!BA69&lt;&gt;0,Source!BA69,1)*Source!I69),2)</f>
        <v>0</v>
      </c>
      <c r="O163">
        <f>IF(Source!BI69=1,((((Source!CT69/IF(Source!BA69&lt;&gt;0,Source!BA69,1)*Source!I69)+(Source!CR69/IF(Source!BB69&lt;&gt;0,Source!BB69,1)*Source!I69)+(Source!CQ69/IF(Source!BC69&lt;&gt;0,Source!BC69,1)*Source!I69))+((Source!FX69/100)*((Source!CT69/IF(Source!BA69&lt;&gt;0,Source!BA69,1)*Source!I69)+(Source!CS69/IF(Source!BS69&lt;&gt;0,Source!BS69,1)*Source!I69)))+((Source!FY69/100)*((Source!CT69/IF(Source!BA69&lt;&gt;0,Source!BA69,1)*Source!I69)+(Source!CS69/IF(Source!BS69&lt;&gt;0,Source!BS69,1)*Source!I69))))),0)</f>
        <v>0</v>
      </c>
      <c r="P163">
        <f>IF(Source!BI69=2,((((Source!CT69/IF(Source!BA69&lt;&gt;0,Source!BA69,1)*Source!I69)+(Source!CR69/IF(Source!BB69&lt;&gt;0,Source!BB69,1)*Source!I69)+(Source!CQ69/IF(Source!BC69&lt;&gt;0,Source!BC69,1)*Source!I69))+((Source!FX69/100)*((Source!CT69/IF(Source!BA69&lt;&gt;0,Source!BA69,1)*Source!I69)+(Source!CS69/IF(Source!BS69&lt;&gt;0,Source!BS69,1)*Source!I69)))+((Source!FY69/100)*((Source!CT69/IF(Source!BA69&lt;&gt;0,Source!BA69,1)*Source!I69)+(Source!CS69/IF(Source!BS69&lt;&gt;0,Source!BS69,1)*Source!I69))))),0)</f>
        <v>0</v>
      </c>
      <c r="Q163">
        <f>IF(Source!BI69=3,((((Source!CT69/IF(Source!BA69&lt;&gt;0,Source!BA69,1)*Source!I69)+(Source!CR69/IF(Source!BB69&lt;&gt;0,Source!BB69,1)*Source!I69)+(Source!CQ69/IF(Source!BC69&lt;&gt;0,Source!BC69,1)*Source!I69))+((Source!FX69/100)*((Source!CT69/IF(Source!BA69&lt;&gt;0,Source!BA69,1)*Source!I69)+(Source!CS69/IF(Source!BS69&lt;&gt;0,Source!BS69,1)*Source!I69)))+((Source!FY69/100)*((Source!CT69/IF(Source!BA69&lt;&gt;0,Source!BA69,1)*Source!I69)+(Source!CS69/IF(Source!BS69&lt;&gt;0,Source!BS69,1)*Source!I69))))),0)</f>
        <v>0</v>
      </c>
      <c r="R163">
        <f>IF(Source!BI69=4,((((Source!CT69/IF(Source!BA69&lt;&gt;0,Source!BA69,1)*Source!I69)+(Source!CR69/IF(Source!BB69&lt;&gt;0,Source!BB69,1)*Source!I69)+(Source!CQ69/IF(Source!BC69&lt;&gt;0,Source!BC69,1)*Source!I69))+((Source!FX69/100)*((Source!CT69/IF(Source!BA69&lt;&gt;0,Source!BA69,1)*Source!I69)+(Source!CS69/IF(Source!BS69&lt;&gt;0,Source!BS69,1)*Source!I69)))+((Source!FY69/100)*((Source!CT69/IF(Source!BA69&lt;&gt;0,Source!BA69,1)*Source!I69)+(Source!CS69/IF(Source!BS69&lt;&gt;0,Source!BS69,1)*Source!I69))))),0)</f>
        <v>1.463</v>
      </c>
      <c r="S163">
        <f>IF(Source!BI69=1,Source!O69+Source!X69+Source!Y69,0)</f>
        <v>0</v>
      </c>
      <c r="T163">
        <f>IF(Source!BI69=2,Source!O69+Source!X69+Source!Y69,0)</f>
        <v>0</v>
      </c>
      <c r="U163">
        <f>IF(Source!BI69=3,Source!O69+Source!X69+Source!Y69,0)</f>
        <v>0</v>
      </c>
      <c r="V163">
        <f>IF(Source!BI69=4,Source!O69+Source!X69+Source!Y69,0)</f>
        <v>7.78</v>
      </c>
      <c r="W163">
        <f>ROUND((Source!CS69/IF(Source!BS69&lt;&gt;0,Source!BS69,1)*Source!I69),2)</f>
        <v>0</v>
      </c>
    </row>
    <row r="164" spans="1:12" ht="90">
      <c r="A164" s="29" t="str">
        <f>Source!E70</f>
        <v>19</v>
      </c>
      <c r="B164" s="29" t="str">
        <f>Source!F70</f>
        <v>47-01-046-3</v>
      </c>
      <c r="C164" s="30" t="str">
        <f>Source!G70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D164" s="31" t="str">
        <f>Source!H70</f>
        <v>100 м2</v>
      </c>
      <c r="E164" s="14">
        <f>ROUND(Source!I70,6)</f>
        <v>0.065</v>
      </c>
      <c r="F164" s="16">
        <f>IF(Source!AK70&lt;&gt;0,Source!AK70,Source!AL70+Source!AM70+Source!AO70)</f>
        <v>2263.61</v>
      </c>
      <c r="G164" s="14"/>
      <c r="H164" s="14"/>
      <c r="I164" s="32" t="str">
        <f>IF(Source!BO70&lt;&gt;"",Source!BO70,"")</f>
        <v>47-01-046-3</v>
      </c>
      <c r="J164" s="14"/>
      <c r="K164" s="14"/>
      <c r="L164" s="14"/>
    </row>
    <row r="165" spans="1:12" ht="15">
      <c r="A165" s="14"/>
      <c r="B165" s="14"/>
      <c r="C165" s="14" t="s">
        <v>429</v>
      </c>
      <c r="D165" s="14"/>
      <c r="E165" s="14"/>
      <c r="F165" s="16">
        <f>Source!AO70</f>
        <v>278.54</v>
      </c>
      <c r="G165" s="32">
        <f>Source!DG70</f>
      </c>
      <c r="H165" s="16">
        <f>ROUND((Source!CT70/IF(Source!BA70&lt;&gt;0,Source!BA70,1)*Source!I70),2)</f>
        <v>18.11</v>
      </c>
      <c r="I165" s="14"/>
      <c r="J165" s="14">
        <f>Source!BA70</f>
        <v>17.84</v>
      </c>
      <c r="K165" s="16">
        <f>Source!S70</f>
        <v>322.99</v>
      </c>
      <c r="L165" s="14"/>
    </row>
    <row r="166" spans="1:12" ht="15">
      <c r="A166" s="14"/>
      <c r="B166" s="14"/>
      <c r="C166" s="14" t="s">
        <v>107</v>
      </c>
      <c r="D166" s="14"/>
      <c r="E166" s="14"/>
      <c r="F166" s="16">
        <f>Source!AM70</f>
        <v>6.57</v>
      </c>
      <c r="G166" s="32">
        <f>Source!DE70</f>
      </c>
      <c r="H166" s="16">
        <f>ROUND((Source!CR70/IF(Source!BB70&lt;&gt;0,Source!BB70,1)*Source!I70),2)</f>
        <v>0.43</v>
      </c>
      <c r="I166" s="14"/>
      <c r="J166" s="14">
        <f>Source!BB70</f>
        <v>6.04</v>
      </c>
      <c r="K166" s="16">
        <f>Source!Q70</f>
        <v>2.58</v>
      </c>
      <c r="L166" s="14"/>
    </row>
    <row r="167" spans="1:12" ht="15">
      <c r="A167" s="14"/>
      <c r="B167" s="14"/>
      <c r="C167" s="14" t="s">
        <v>434</v>
      </c>
      <c r="D167" s="14"/>
      <c r="E167" s="14"/>
      <c r="F167" s="16">
        <f>Source!AN70</f>
        <v>0.95</v>
      </c>
      <c r="G167" s="32">
        <f>Source!DF70</f>
      </c>
      <c r="H167" s="40">
        <f>ROUND((Source!CS70/IF(Source!BS70&lt;&gt;0,Source!BS70,1)*Source!I70),2)</f>
        <v>0.06</v>
      </c>
      <c r="I167" s="14"/>
      <c r="J167" s="14">
        <f>Source!BS70</f>
        <v>17.84</v>
      </c>
      <c r="K167" s="40">
        <f>Source!R70</f>
        <v>1.1</v>
      </c>
      <c r="L167" s="14"/>
    </row>
    <row r="168" spans="1:12" ht="15">
      <c r="A168" s="14"/>
      <c r="B168" s="14"/>
      <c r="C168" s="14" t="s">
        <v>435</v>
      </c>
      <c r="D168" s="14"/>
      <c r="E168" s="14"/>
      <c r="F168" s="16">
        <f>Source!AL70</f>
        <v>1978.5</v>
      </c>
      <c r="G168" s="32">
        <f>Source!DD70</f>
      </c>
      <c r="H168" s="16">
        <f>ROUND((Source!CQ70/IF(Source!BC70&lt;&gt;0,Source!BC70,1)*Source!I70),2)</f>
        <v>128.6</v>
      </c>
      <c r="I168" s="14"/>
      <c r="J168" s="14">
        <f>Source!BC70</f>
        <v>4.33</v>
      </c>
      <c r="K168" s="16">
        <f>Source!P70</f>
        <v>556.85</v>
      </c>
      <c r="L168" s="14"/>
    </row>
    <row r="169" spans="1:24" ht="15">
      <c r="A169" s="14"/>
      <c r="B169" s="14"/>
      <c r="C169" s="14" t="s">
        <v>430</v>
      </c>
      <c r="D169" s="17" t="s">
        <v>431</v>
      </c>
      <c r="E169" s="14"/>
      <c r="F169" s="16">
        <f>Source!BZ70</f>
        <v>115</v>
      </c>
      <c r="G169" s="14"/>
      <c r="H169" s="16">
        <f>X169+X172+X173+X174</f>
        <v>20.9</v>
      </c>
      <c r="I169" s="14" t="str">
        <f>Source!FV70</f>
        <v>((*0.85))</v>
      </c>
      <c r="J169" s="16">
        <f>Source!AT70</f>
        <v>98</v>
      </c>
      <c r="K169" s="16">
        <f>Source!X70+Source!X71+Source!X72+Source!X73</f>
        <v>317.61</v>
      </c>
      <c r="L169" s="14"/>
      <c r="X169">
        <f>ROUND((Source!FX70/100)*(ROUND((Source!CT70/IF(Source!BA70&lt;&gt;0,Source!BA70,1)*Source!I70),2)+ROUND((Source!CS70/IF(Source!BS70&lt;&gt;0,Source!BS70,1)*Source!I70),2)),2)</f>
        <v>20.9</v>
      </c>
    </row>
    <row r="170" spans="1:25" ht="15">
      <c r="A170" s="14"/>
      <c r="B170" s="14"/>
      <c r="C170" s="14" t="s">
        <v>123</v>
      </c>
      <c r="D170" s="17" t="s">
        <v>431</v>
      </c>
      <c r="E170" s="14"/>
      <c r="F170" s="16">
        <f>Source!CA70</f>
        <v>90</v>
      </c>
      <c r="G170" s="14"/>
      <c r="H170" s="16">
        <f>Y170+Y172+Y173+Y174</f>
        <v>16.35</v>
      </c>
      <c r="I170" s="14" t="str">
        <f>Source!FW70</f>
        <v>((*0.8))</v>
      </c>
      <c r="J170" s="16">
        <f>Source!AU70</f>
        <v>72</v>
      </c>
      <c r="K170" s="16">
        <f>Source!Y70+Source!Y71+Source!Y72+Source!Y73</f>
        <v>233.34</v>
      </c>
      <c r="L170" s="14"/>
      <c r="Y170">
        <f>ROUND((Source!FY70/100)*(ROUND((Source!CT70/IF(Source!BA70&lt;&gt;0,Source!BA70,1)*Source!I70),2)+ROUND((Source!CS70/IF(Source!BS70&lt;&gt;0,Source!BS70,1)*Source!I70),2)),2)</f>
        <v>16.35</v>
      </c>
    </row>
    <row r="171" spans="1:12" ht="15">
      <c r="A171" s="14"/>
      <c r="B171" s="14"/>
      <c r="C171" s="14" t="s">
        <v>432</v>
      </c>
      <c r="D171" s="17" t="s">
        <v>433</v>
      </c>
      <c r="E171" s="14">
        <f>Source!AQ70</f>
        <v>35.08</v>
      </c>
      <c r="F171" s="14"/>
      <c r="G171" s="32">
        <f>Source!DI70</f>
      </c>
      <c r="H171" s="14"/>
      <c r="I171" s="14"/>
      <c r="J171" s="14"/>
      <c r="K171" s="14"/>
      <c r="L171" s="16">
        <f>Source!U70</f>
        <v>2.2802</v>
      </c>
    </row>
    <row r="172" spans="1:25" ht="30">
      <c r="A172" s="29" t="str">
        <f>Source!E71</f>
        <v>19,1</v>
      </c>
      <c r="B172" s="29" t="str">
        <f>Source!F71</f>
        <v>407-0013</v>
      </c>
      <c r="C172" s="30" t="str">
        <f>Source!G71</f>
        <v>Земля растительная механизированной заготовки</v>
      </c>
      <c r="D172" s="31" t="str">
        <f>Source!H71</f>
        <v>м3</v>
      </c>
      <c r="E172" s="14">
        <f>ROUND(Source!I71,6)</f>
        <v>-0.975</v>
      </c>
      <c r="F172" s="16">
        <f>IF(Source!AL71=0,Source!AK71,Source!AL71)</f>
        <v>131.9</v>
      </c>
      <c r="G172" s="32">
        <f>Source!DD71</f>
      </c>
      <c r="H172" s="41">
        <f>ROUND((Source!CR71/IF(Source!BB71&lt;&gt;0,Source!BB71,1)*Source!I71),2)+ROUND((Source!CQ71/IF(Source!BC71&lt;&gt;0,Source!BC71,1)*Source!I71),2)+ROUND((Source!CT71/IF(Source!BA71&lt;&gt;0,Source!BA71,1)*Source!I71),2)</f>
        <v>-128.6</v>
      </c>
      <c r="I172" s="32" t="str">
        <f>IF(Source!BO71&lt;&gt;"",Source!BO71,"")</f>
        <v>407-0013</v>
      </c>
      <c r="J172" s="14">
        <f>Source!BC71</f>
        <v>4.33</v>
      </c>
      <c r="K172" s="16">
        <f>Source!O71</f>
        <v>-556.85</v>
      </c>
      <c r="L172" s="14"/>
      <c r="N172">
        <f>ROUND((Source!CT71/IF(Source!BA71&lt;&gt;0,Source!BA71,1)*Source!I71),2)</f>
        <v>0</v>
      </c>
      <c r="O172">
        <f>IF(Source!BI71=1,(ROUND((Source!CR71/IF(Source!BB71&lt;&gt;0,Source!BB71,1)*Source!I71),2)+ROUND((Source!CQ71/IF(Source!BC71&lt;&gt;0,Source!BC71,1)*Source!I71),2)+ROUND((Source!CT71/IF(Source!BA71&lt;&gt;0,Source!BA71,1)*Source!I71),2)),0)</f>
        <v>-128.6</v>
      </c>
      <c r="P172">
        <f>IF(Source!BI71=2,(ROUND((Source!CR71/IF(Source!BB71&lt;&gt;0,Source!BB71,1)*Source!I71),2)+ROUND((Source!CQ71/IF(Source!BC71&lt;&gt;0,Source!BC71,1)*Source!I71),2)+ROUND((Source!CT71/IF(Source!BA71&lt;&gt;0,Source!BA71,1)*Source!I71),2)),0)</f>
        <v>0</v>
      </c>
      <c r="Q172">
        <f>IF(Source!BI71=3,(ROUND((Source!CR71/IF(Source!BB71&lt;&gt;0,Source!BB71,1)*Source!I71),2)+ROUND((Source!CQ71/IF(Source!BC71&lt;&gt;0,Source!BC71,1)*Source!I71),2)+ROUND((Source!CT71/IF(Source!BA71&lt;&gt;0,Source!BA71,1)*Source!I71),2)),0)</f>
        <v>0</v>
      </c>
      <c r="R172">
        <f>IF(Source!BI71=4,(ROUND((Source!CR71/IF(Source!BB71&lt;&gt;0,Source!BB71,1)*Source!I71),2)+ROUND((Source!CQ71/IF(Source!BC71&lt;&gt;0,Source!BC71,1)*Source!I71),2)+ROUND((Source!CT71/IF(Source!BA71&lt;&gt;0,Source!BA71,1)*Source!I71),2)),0)</f>
        <v>0</v>
      </c>
      <c r="S172">
        <f>IF(Source!BI71=1,Source!O71+Source!X71+Source!Y71,0)</f>
        <v>-556.85</v>
      </c>
      <c r="T172">
        <f>IF(Source!BI71=2,Source!O71+Source!X71+Source!Y71,0)</f>
        <v>0</v>
      </c>
      <c r="U172">
        <f>IF(Source!BI71=3,Source!O71+Source!X71+Source!Y71,0)</f>
        <v>0</v>
      </c>
      <c r="V172">
        <f>IF(Source!BI71=4,Source!O71+Source!X71+Source!Y71,0)</f>
        <v>0</v>
      </c>
      <c r="W172">
        <f>ROUND((Source!CS71/IF(Source!BS71&lt;&gt;0,Source!BS71,1)*Source!I71),2)</f>
        <v>0</v>
      </c>
      <c r="X172">
        <f>ROUND((Source!FX71/100)*(ROUND((Source!CT71/IF(Source!BA71&lt;&gt;0,Source!BA71,1)*Source!I71),2)+ROUND((Source!CS71/IF(Source!BS71&lt;&gt;0,Source!BS71,1)*Source!I71),2)),2)</f>
        <v>0</v>
      </c>
      <c r="Y172">
        <f>ROUND((Source!FY71/100)*(ROUND((Source!CT71/IF(Source!BA71&lt;&gt;0,Source!BA71,1)*Source!I71),2)+ROUND((Source!CS71/IF(Source!BS71&lt;&gt;0,Source!BS71,1)*Source!I71),2)),2)</f>
        <v>0</v>
      </c>
    </row>
    <row r="173" spans="1:25" ht="30">
      <c r="A173" s="29" t="str">
        <f>Source!E72</f>
        <v>19,2</v>
      </c>
      <c r="B173" s="29" t="str">
        <f>Source!F72</f>
        <v>407-0013</v>
      </c>
      <c r="C173" s="30" t="str">
        <f>Source!G72</f>
        <v>Земля растительная механизированной заготовки</v>
      </c>
      <c r="D173" s="31" t="str">
        <f>Source!H72</f>
        <v>м3</v>
      </c>
      <c r="E173" s="14">
        <f>ROUND(Source!I72,6)</f>
        <v>0.325</v>
      </c>
      <c r="F173" s="16">
        <f>IF(Source!AL72=0,Source!AK72,Source!AL72)</f>
        <v>131.9</v>
      </c>
      <c r="G173" s="32">
        <f>Source!DD72</f>
      </c>
      <c r="H173" s="41">
        <f>ROUND((Source!CR72/IF(Source!BB72&lt;&gt;0,Source!BB72,1)*Source!I72),2)+ROUND((Source!CQ72/IF(Source!BC72&lt;&gt;0,Source!BC72,1)*Source!I72),2)+ROUND((Source!CT72/IF(Source!BA72&lt;&gt;0,Source!BA72,1)*Source!I72),2)</f>
        <v>42.87</v>
      </c>
      <c r="I173" s="32" t="str">
        <f>IF(Source!BO72&lt;&gt;"",Source!BO72,"")</f>
        <v>407-0013</v>
      </c>
      <c r="J173" s="14">
        <f>Source!BC72</f>
        <v>4.33</v>
      </c>
      <c r="K173" s="16">
        <f>Source!O72</f>
        <v>185.62</v>
      </c>
      <c r="L173" s="14"/>
      <c r="N173">
        <f>ROUND((Source!CT72/IF(Source!BA72&lt;&gt;0,Source!BA72,1)*Source!I72),2)</f>
        <v>0</v>
      </c>
      <c r="O173">
        <f>IF(Source!BI72=1,(ROUND((Source!CR72/IF(Source!BB72&lt;&gt;0,Source!BB72,1)*Source!I72),2)+ROUND((Source!CQ72/IF(Source!BC72&lt;&gt;0,Source!BC72,1)*Source!I72),2)+ROUND((Source!CT72/IF(Source!BA72&lt;&gt;0,Source!BA72,1)*Source!I72),2)),0)</f>
        <v>42.87</v>
      </c>
      <c r="P173">
        <f>IF(Source!BI72=2,(ROUND((Source!CR72/IF(Source!BB72&lt;&gt;0,Source!BB72,1)*Source!I72),2)+ROUND((Source!CQ72/IF(Source!BC72&lt;&gt;0,Source!BC72,1)*Source!I72),2)+ROUND((Source!CT72/IF(Source!BA72&lt;&gt;0,Source!BA72,1)*Source!I72),2)),0)</f>
        <v>0</v>
      </c>
      <c r="Q173">
        <f>IF(Source!BI72=3,(ROUND((Source!CR72/IF(Source!BB72&lt;&gt;0,Source!BB72,1)*Source!I72),2)+ROUND((Source!CQ72/IF(Source!BC72&lt;&gt;0,Source!BC72,1)*Source!I72),2)+ROUND((Source!CT72/IF(Source!BA72&lt;&gt;0,Source!BA72,1)*Source!I72),2)),0)</f>
        <v>0</v>
      </c>
      <c r="R173">
        <f>IF(Source!BI72=4,(ROUND((Source!CR72/IF(Source!BB72&lt;&gt;0,Source!BB72,1)*Source!I72),2)+ROUND((Source!CQ72/IF(Source!BC72&lt;&gt;0,Source!BC72,1)*Source!I72),2)+ROUND((Source!CT72/IF(Source!BA72&lt;&gt;0,Source!BA72,1)*Source!I72),2)),0)</f>
        <v>0</v>
      </c>
      <c r="S173">
        <f>IF(Source!BI72=1,Source!O72+Source!X72+Source!Y72,0)</f>
        <v>185.62</v>
      </c>
      <c r="T173">
        <f>IF(Source!BI72=2,Source!O72+Source!X72+Source!Y72,0)</f>
        <v>0</v>
      </c>
      <c r="U173">
        <f>IF(Source!BI72=3,Source!O72+Source!X72+Source!Y72,0)</f>
        <v>0</v>
      </c>
      <c r="V173">
        <f>IF(Source!BI72=4,Source!O72+Source!X72+Source!Y72,0)</f>
        <v>0</v>
      </c>
      <c r="W173">
        <f>ROUND((Source!CS72/IF(Source!BS72&lt;&gt;0,Source!BS72,1)*Source!I72),2)</f>
        <v>0</v>
      </c>
      <c r="X173">
        <f>ROUND((Source!FX72/100)*(ROUND((Source!CT72/IF(Source!BA72&lt;&gt;0,Source!BA72,1)*Source!I72),2)+ROUND((Source!CS72/IF(Source!BS72&lt;&gt;0,Source!BS72,1)*Source!I72),2)),2)</f>
        <v>0</v>
      </c>
      <c r="Y173">
        <f>ROUND((Source!FY72/100)*(ROUND((Source!CT72/IF(Source!BA72&lt;&gt;0,Source!BA72,1)*Source!I72),2)+ROUND((Source!CS72/IF(Source!BS72&lt;&gt;0,Source!BS72,1)*Source!I72),2)),2)</f>
        <v>0</v>
      </c>
    </row>
    <row r="174" spans="1:25" ht="30">
      <c r="A174" s="42" t="str">
        <f>Source!E73</f>
        <v>19,3</v>
      </c>
      <c r="B174" s="42" t="str">
        <f>Source!F73</f>
        <v>408-0122</v>
      </c>
      <c r="C174" s="43" t="str">
        <f>Source!G73</f>
        <v>Песок природный для строительных работ средний</v>
      </c>
      <c r="D174" s="44" t="str">
        <f>Source!H73</f>
        <v>м3</v>
      </c>
      <c r="E174" s="34">
        <f>ROUND(Source!I73,6)</f>
        <v>0.325</v>
      </c>
      <c r="F174" s="37">
        <f>IF(Source!AL73=0,Source!AK73,Source!AL73)</f>
        <v>55.26</v>
      </c>
      <c r="G174" s="36">
        <f>Source!DD73</f>
      </c>
      <c r="H174" s="45">
        <f>ROUND((Source!CR73/IF(Source!BB73&lt;&gt;0,Source!BB73,1)*Source!I73),2)+ROUND((Source!CQ73/IF(Source!BC73&lt;&gt;0,Source!BC73,1)*Source!I73),2)+ROUND((Source!CT73/IF(Source!BA73&lt;&gt;0,Source!BA73,1)*Source!I73),2)</f>
        <v>17.96</v>
      </c>
      <c r="I174" s="36" t="str">
        <f>IF(Source!BO73&lt;&gt;"",Source!BO73,"")</f>
        <v>408-0122</v>
      </c>
      <c r="J174" s="34">
        <f>Source!BC73</f>
        <v>9.25</v>
      </c>
      <c r="K174" s="37">
        <f>Source!O73</f>
        <v>166.13</v>
      </c>
      <c r="L174" s="34"/>
      <c r="N174">
        <f>ROUND((Source!CT73/IF(Source!BA73&lt;&gt;0,Source!BA73,1)*Source!I73),2)</f>
        <v>0</v>
      </c>
      <c r="O174">
        <f>IF(Source!BI73=1,(ROUND((Source!CR73/IF(Source!BB73&lt;&gt;0,Source!BB73,1)*Source!I73),2)+ROUND((Source!CQ73/IF(Source!BC73&lt;&gt;0,Source!BC73,1)*Source!I73),2)+ROUND((Source!CT73/IF(Source!BA73&lt;&gt;0,Source!BA73,1)*Source!I73),2)),0)</f>
        <v>17.96</v>
      </c>
      <c r="P174">
        <f>IF(Source!BI73=2,(ROUND((Source!CR73/IF(Source!BB73&lt;&gt;0,Source!BB73,1)*Source!I73),2)+ROUND((Source!CQ73/IF(Source!BC73&lt;&gt;0,Source!BC73,1)*Source!I73),2)+ROUND((Source!CT73/IF(Source!BA73&lt;&gt;0,Source!BA73,1)*Source!I73),2)),0)</f>
        <v>0</v>
      </c>
      <c r="Q174">
        <f>IF(Source!BI73=3,(ROUND((Source!CR73/IF(Source!BB73&lt;&gt;0,Source!BB73,1)*Source!I73),2)+ROUND((Source!CQ73/IF(Source!BC73&lt;&gt;0,Source!BC73,1)*Source!I73),2)+ROUND((Source!CT73/IF(Source!BA73&lt;&gt;0,Source!BA73,1)*Source!I73),2)),0)</f>
        <v>0</v>
      </c>
      <c r="R174">
        <f>IF(Source!BI73=4,(ROUND((Source!CR73/IF(Source!BB73&lt;&gt;0,Source!BB73,1)*Source!I73),2)+ROUND((Source!CQ73/IF(Source!BC73&lt;&gt;0,Source!BC73,1)*Source!I73),2)+ROUND((Source!CT73/IF(Source!BA73&lt;&gt;0,Source!BA73,1)*Source!I73),2)),0)</f>
        <v>0</v>
      </c>
      <c r="S174">
        <f>IF(Source!BI73=1,Source!O73+Source!X73+Source!Y73,0)</f>
        <v>166.13</v>
      </c>
      <c r="T174">
        <f>IF(Source!BI73=2,Source!O73+Source!X73+Source!Y73,0)</f>
        <v>0</v>
      </c>
      <c r="U174">
        <f>IF(Source!BI73=3,Source!O73+Source!X73+Source!Y73,0)</f>
        <v>0</v>
      </c>
      <c r="V174">
        <f>IF(Source!BI73=4,Source!O73+Source!X73+Source!Y73,0)</f>
        <v>0</v>
      </c>
      <c r="W174">
        <f>ROUND((Source!CS73/IF(Source!BS73&lt;&gt;0,Source!BS73,1)*Source!I73),2)</f>
        <v>0</v>
      </c>
      <c r="X174">
        <f>ROUND((Source!FX73/100)*(ROUND((Source!CT73/IF(Source!BA73&lt;&gt;0,Source!BA73,1)*Source!I73),2)+ROUND((Source!CS73/IF(Source!BS73&lt;&gt;0,Source!BS73,1)*Source!I73),2)),2)</f>
        <v>0</v>
      </c>
      <c r="Y174">
        <f>ROUND((Source!FY73/100)*(ROUND((Source!CT73/IF(Source!BA73&lt;&gt;0,Source!BA73,1)*Source!I73),2)+ROUND((Source!CS73/IF(Source!BS73&lt;&gt;0,Source!BS73,1)*Source!I73),2)),2)</f>
        <v>0</v>
      </c>
    </row>
    <row r="175" spans="1:23" ht="15.75">
      <c r="A175" s="14"/>
      <c r="B175" s="14"/>
      <c r="C175" s="14"/>
      <c r="D175" s="14"/>
      <c r="E175" s="14"/>
      <c r="F175" s="14"/>
      <c r="G175" s="14"/>
      <c r="H175" s="38">
        <f>ROUND((Source!CT70/IF(Source!BA70&lt;&gt;0,Source!BA70,1)*Source!I70),2)+ROUND((Source!CR70/IF(Source!BB70&lt;&gt;0,Source!BB70,1)*Source!I70),2)+H168+H169+H170+H172+H173+H174</f>
        <v>116.62</v>
      </c>
      <c r="I175" s="39"/>
      <c r="J175" s="39"/>
      <c r="K175" s="38">
        <f>Source!S70+Source!Q70+K168+K169+K170+K172+K173+K174</f>
        <v>1228.27</v>
      </c>
      <c r="L175" s="38">
        <f>Source!U70</f>
        <v>2.2802</v>
      </c>
      <c r="M175" s="33">
        <f>H175</f>
        <v>116.62</v>
      </c>
      <c r="N175">
        <f>ROUND((Source!CT70/IF(Source!BA70&lt;&gt;0,Source!BA70,1)*Source!I70),2)</f>
        <v>18.11</v>
      </c>
      <c r="O175">
        <f>IF(Source!BI70=1,((((Source!CT70/IF(Source!BA70&lt;&gt;0,Source!BA70,1)*Source!I70)+(Source!CR70/IF(Source!BB70&lt;&gt;0,Source!BB70,1)*Source!I70)+(Source!CQ70/IF(Source!BC70&lt;&gt;0,Source!BC70,1)*Source!I70))+((Source!FX70/100)*((Source!CT70/IF(Source!BA70&lt;&gt;0,Source!BA70,1)*Source!I70)+(Source!CS70/IF(Source!BS70&lt;&gt;0,Source!BS70,1)*Source!I70)))+((Source!FY70/100)*((Source!CT70/IF(Source!BA70&lt;&gt;0,Source!BA70,1)*Source!I70)+(Source!CS70/IF(Source!BS70&lt;&gt;0,Source!BS70,1)*Source!I70))))),0)</f>
        <v>184.37669250000002</v>
      </c>
      <c r="P175">
        <f>IF(Source!BI70=2,((((Source!CT70/IF(Source!BA70&lt;&gt;0,Source!BA70,1)*Source!I70)+(Source!CR70/IF(Source!BB70&lt;&gt;0,Source!BB70,1)*Source!I70)+(Source!CQ70/IF(Source!BC70&lt;&gt;0,Source!BC70,1)*Source!I70))+((Source!FX70/100)*((Source!CT70/IF(Source!BA70&lt;&gt;0,Source!BA70,1)*Source!I70)+(Source!CS70/IF(Source!BS70&lt;&gt;0,Source!BS70,1)*Source!I70)))+((Source!FY70/100)*((Source!CT70/IF(Source!BA70&lt;&gt;0,Source!BA70,1)*Source!I70)+(Source!CS70/IF(Source!BS70&lt;&gt;0,Source!BS70,1)*Source!I70))))),0)</f>
        <v>0</v>
      </c>
      <c r="Q175">
        <f>IF(Source!BI70=3,((((Source!CT70/IF(Source!BA70&lt;&gt;0,Source!BA70,1)*Source!I70)+(Source!CR70/IF(Source!BB70&lt;&gt;0,Source!BB70,1)*Source!I70)+(Source!CQ70/IF(Source!BC70&lt;&gt;0,Source!BC70,1)*Source!I70))+((Source!FX70/100)*((Source!CT70/IF(Source!BA70&lt;&gt;0,Source!BA70,1)*Source!I70)+(Source!CS70/IF(Source!BS70&lt;&gt;0,Source!BS70,1)*Source!I70)))+((Source!FY70/100)*((Source!CT70/IF(Source!BA70&lt;&gt;0,Source!BA70,1)*Source!I70)+(Source!CS70/IF(Source!BS70&lt;&gt;0,Source!BS70,1)*Source!I70))))),0)</f>
        <v>0</v>
      </c>
      <c r="R175">
        <f>IF(Source!BI70=4,((((Source!CT70/IF(Source!BA70&lt;&gt;0,Source!BA70,1)*Source!I70)+(Source!CR70/IF(Source!BB70&lt;&gt;0,Source!BB70,1)*Source!I70)+(Source!CQ70/IF(Source!BC70&lt;&gt;0,Source!BC70,1)*Source!I70))+((Source!FX70/100)*((Source!CT70/IF(Source!BA70&lt;&gt;0,Source!BA70,1)*Source!I70)+(Source!CS70/IF(Source!BS70&lt;&gt;0,Source!BS70,1)*Source!I70)))+((Source!FY70/100)*((Source!CT70/IF(Source!BA70&lt;&gt;0,Source!BA70,1)*Source!I70)+(Source!CS70/IF(Source!BS70&lt;&gt;0,Source!BS70,1)*Source!I70))))),0)</f>
        <v>0</v>
      </c>
      <c r="S175">
        <f>IF(Source!BI70=1,Source!O70+Source!X70+Source!Y70,0)</f>
        <v>1433.37</v>
      </c>
      <c r="T175">
        <f>IF(Source!BI70=2,Source!O70+Source!X70+Source!Y70,0)</f>
        <v>0</v>
      </c>
      <c r="U175">
        <f>IF(Source!BI70=3,Source!O70+Source!X70+Source!Y70,0)</f>
        <v>0</v>
      </c>
      <c r="V175">
        <f>IF(Source!BI70=4,Source!O70+Source!X70+Source!Y70,0)</f>
        <v>0</v>
      </c>
      <c r="W175">
        <f>ROUND((Source!CS70/IF(Source!BS70&lt;&gt;0,Source!BS70,1)*Source!I70),2)</f>
        <v>0.06</v>
      </c>
    </row>
    <row r="177" spans="3:23" s="39" customFormat="1" ht="15.75">
      <c r="C177" s="39" t="s">
        <v>174</v>
      </c>
      <c r="G177" s="91">
        <f>SUM(M129:M176)</f>
        <v>2814.9300000000003</v>
      </c>
      <c r="H177" s="91"/>
      <c r="J177" s="91">
        <f>ROUND(Source!AB62+Source!AK62+Source!AL62+Source!AE62*0/100,2)</f>
        <v>37420.31</v>
      </c>
      <c r="K177" s="91"/>
      <c r="L177" s="38">
        <f>Source!AH62</f>
        <v>93.4</v>
      </c>
      <c r="N177" s="38">
        <f aca="true" t="shared" si="1" ref="N177:W177">SUM(N129:N176)</f>
        <v>750.71</v>
      </c>
      <c r="O177" s="38">
        <f t="shared" si="1"/>
        <v>2812.3931335</v>
      </c>
      <c r="P177" s="38">
        <f t="shared" si="1"/>
        <v>0</v>
      </c>
      <c r="Q177" s="38">
        <f t="shared" si="1"/>
        <v>0</v>
      </c>
      <c r="R177" s="38">
        <f t="shared" si="1"/>
        <v>2.5420000000000003</v>
      </c>
      <c r="S177" s="38">
        <f t="shared" si="1"/>
        <v>37395.29</v>
      </c>
      <c r="T177" s="38">
        <f t="shared" si="1"/>
        <v>0</v>
      </c>
      <c r="U177" s="38">
        <f t="shared" si="1"/>
        <v>0</v>
      </c>
      <c r="V177" s="38">
        <f t="shared" si="1"/>
        <v>25.020000000000003</v>
      </c>
      <c r="W177" s="39">
        <f t="shared" si="1"/>
        <v>19.38</v>
      </c>
    </row>
    <row r="179" spans="3:30" ht="18">
      <c r="C179" s="26" t="s">
        <v>428</v>
      </c>
      <c r="D179" s="89" t="str">
        <f>IF(Source!C12="1",Source!F91,Source!G91)</f>
        <v>Внутридворовая территория около д. 41</v>
      </c>
      <c r="E179" s="92"/>
      <c r="F179" s="92"/>
      <c r="G179" s="92"/>
      <c r="H179" s="92"/>
      <c r="I179" s="92"/>
      <c r="J179" s="92"/>
      <c r="K179" s="92"/>
      <c r="L179" s="92"/>
      <c r="AD179" s="28" t="str">
        <f>IF(Source!C12="1",Source!F91,Source!G91)</f>
        <v>Внутридворовая территория около д. 41</v>
      </c>
    </row>
    <row r="181" spans="1:12" ht="30">
      <c r="A181" s="29" t="str">
        <f>Source!E95</f>
        <v>20</v>
      </c>
      <c r="B181" s="29" t="str">
        <f>Source!F95</f>
        <v>68-2-2</v>
      </c>
      <c r="C181" s="30" t="str">
        <f>Source!G95</f>
        <v>Формовочная обрезка деревьев высотой: более 5 м</v>
      </c>
      <c r="D181" s="31" t="str">
        <f>Source!H95</f>
        <v>шт.</v>
      </c>
      <c r="E181" s="14">
        <f>ROUND(Source!I95,6)</f>
        <v>8</v>
      </c>
      <c r="F181" s="16">
        <f>IF(Source!AK95&lt;&gt;0,Source!AK95,Source!AL95+Source!AM95+Source!AO95)</f>
        <v>519.71</v>
      </c>
      <c r="G181" s="14"/>
      <c r="H181" s="14"/>
      <c r="I181" s="32" t="str">
        <f>IF(Source!BO95&lt;&gt;"",Source!BO95,"")</f>
        <v>68-2-2</v>
      </c>
      <c r="J181" s="14"/>
      <c r="K181" s="14"/>
      <c r="L181" s="14"/>
    </row>
    <row r="182" spans="1:12" ht="15">
      <c r="A182" s="14"/>
      <c r="B182" s="14"/>
      <c r="C182" s="14" t="s">
        <v>429</v>
      </c>
      <c r="D182" s="14"/>
      <c r="E182" s="14"/>
      <c r="F182" s="16">
        <f>Source!AO95</f>
        <v>17.51</v>
      </c>
      <c r="G182" s="32">
        <f>Source!DG95</f>
      </c>
      <c r="H182" s="16">
        <f>ROUND((Source!CT95/IF(Source!BA95&lt;&gt;0,Source!BA95,1)*Source!I95),2)</f>
        <v>140.08</v>
      </c>
      <c r="I182" s="14"/>
      <c r="J182" s="14">
        <f>Source!BA95</f>
        <v>17.84</v>
      </c>
      <c r="K182" s="16">
        <f>Source!S95</f>
        <v>2499.03</v>
      </c>
      <c r="L182" s="14"/>
    </row>
    <row r="183" spans="1:12" ht="15">
      <c r="A183" s="14"/>
      <c r="B183" s="14"/>
      <c r="C183" s="14" t="s">
        <v>107</v>
      </c>
      <c r="D183" s="14"/>
      <c r="E183" s="14"/>
      <c r="F183" s="16">
        <f>Source!AM95</f>
        <v>502.2</v>
      </c>
      <c r="G183" s="32">
        <f>Source!DE95</f>
      </c>
      <c r="H183" s="16">
        <f>ROUND((Source!CR95/IF(Source!BB95&lt;&gt;0,Source!BB95,1)*Source!I95),2)</f>
        <v>4017.6</v>
      </c>
      <c r="I183" s="14"/>
      <c r="J183" s="14">
        <f>Source!BB95</f>
        <v>7.81</v>
      </c>
      <c r="K183" s="16">
        <f>Source!Q95</f>
        <v>31377.46</v>
      </c>
      <c r="L183" s="14"/>
    </row>
    <row r="184" spans="1:12" ht="15">
      <c r="A184" s="14"/>
      <c r="B184" s="14"/>
      <c r="C184" s="14" t="s">
        <v>434</v>
      </c>
      <c r="D184" s="14"/>
      <c r="E184" s="14"/>
      <c r="F184" s="16">
        <f>Source!AN95</f>
        <v>28.68</v>
      </c>
      <c r="G184" s="32">
        <f>Source!DF95</f>
      </c>
      <c r="H184" s="40">
        <f>ROUND((Source!CS95/IF(Source!BS95&lt;&gt;0,Source!BS95,1)*Source!I95),2)</f>
        <v>229.44</v>
      </c>
      <c r="I184" s="14"/>
      <c r="J184" s="14">
        <f>Source!BS95</f>
        <v>17.84</v>
      </c>
      <c r="K184" s="40">
        <f>Source!R95</f>
        <v>4093.21</v>
      </c>
      <c r="L184" s="14"/>
    </row>
    <row r="185" spans="1:24" ht="15">
      <c r="A185" s="14"/>
      <c r="B185" s="14"/>
      <c r="C185" s="14" t="s">
        <v>430</v>
      </c>
      <c r="D185" s="17" t="s">
        <v>431</v>
      </c>
      <c r="E185" s="14"/>
      <c r="F185" s="16">
        <f>Source!BZ95</f>
        <v>104</v>
      </c>
      <c r="G185" s="14"/>
      <c r="H185" s="16">
        <f>X185</f>
        <v>384.3</v>
      </c>
      <c r="I185" s="14" t="str">
        <f>Source!FV95</f>
        <v>((*0.85))</v>
      </c>
      <c r="J185" s="16">
        <f>Source!AT95</f>
        <v>88</v>
      </c>
      <c r="K185" s="16">
        <f>Source!X95</f>
        <v>5801.17</v>
      </c>
      <c r="L185" s="14"/>
      <c r="X185">
        <f>ROUND((Source!FX95/100)*(ROUND((Source!CT95/IF(Source!BA95&lt;&gt;0,Source!BA95,1)*Source!I95),2)+ROUND((Source!CS95/IF(Source!BS95&lt;&gt;0,Source!BS95,1)*Source!I95),2)),2)</f>
        <v>384.3</v>
      </c>
    </row>
    <row r="186" spans="1:25" ht="15">
      <c r="A186" s="14"/>
      <c r="B186" s="14"/>
      <c r="C186" s="14" t="s">
        <v>123</v>
      </c>
      <c r="D186" s="17" t="s">
        <v>431</v>
      </c>
      <c r="E186" s="14"/>
      <c r="F186" s="16">
        <f>Source!CA95</f>
        <v>60</v>
      </c>
      <c r="G186" s="14"/>
      <c r="H186" s="16">
        <f>Y186</f>
        <v>221.71</v>
      </c>
      <c r="I186" s="14" t="str">
        <f>Source!FW95</f>
        <v>((*0.8))</v>
      </c>
      <c r="J186" s="16">
        <f>Source!AU95</f>
        <v>48</v>
      </c>
      <c r="K186" s="16">
        <f>Source!Y95</f>
        <v>3164.28</v>
      </c>
      <c r="L186" s="14"/>
      <c r="Y186">
        <f>ROUND((Source!FY95/100)*(ROUND((Source!CT95/IF(Source!BA95&lt;&gt;0,Source!BA95,1)*Source!I95),2)+ROUND((Source!CS95/IF(Source!BS95&lt;&gt;0,Source!BS95,1)*Source!I95),2)),2)</f>
        <v>221.71</v>
      </c>
    </row>
    <row r="187" spans="1:12" ht="15">
      <c r="A187" s="34"/>
      <c r="B187" s="34"/>
      <c r="C187" s="34" t="s">
        <v>432</v>
      </c>
      <c r="D187" s="35" t="s">
        <v>433</v>
      </c>
      <c r="E187" s="34">
        <f>Source!AQ95</f>
        <v>2.07</v>
      </c>
      <c r="F187" s="34"/>
      <c r="G187" s="36">
        <f>Source!DI95</f>
      </c>
      <c r="H187" s="34"/>
      <c r="I187" s="34"/>
      <c r="J187" s="34"/>
      <c r="K187" s="34"/>
      <c r="L187" s="37">
        <f>Source!U95</f>
        <v>16.56</v>
      </c>
    </row>
    <row r="188" spans="1:23" ht="15.75">
      <c r="A188" s="14"/>
      <c r="B188" s="14"/>
      <c r="C188" s="14"/>
      <c r="D188" s="14"/>
      <c r="E188" s="14"/>
      <c r="F188" s="14"/>
      <c r="G188" s="14"/>
      <c r="H188" s="38">
        <f>ROUND((Source!CT95/IF(Source!BA95&lt;&gt;0,Source!BA95,1)*Source!I95),2)+ROUND((Source!CR95/IF(Source!BB95&lt;&gt;0,Source!BB95,1)*Source!I95),2)+H185+H186</f>
        <v>4763.6900000000005</v>
      </c>
      <c r="I188" s="39"/>
      <c r="J188" s="39"/>
      <c r="K188" s="38">
        <f>Source!S95+Source!Q95+K185+K186</f>
        <v>42841.939999999995</v>
      </c>
      <c r="L188" s="38">
        <f>Source!U95</f>
        <v>16.56</v>
      </c>
      <c r="M188" s="33">
        <f>H188</f>
        <v>4763.6900000000005</v>
      </c>
      <c r="N188">
        <f>ROUND((Source!CT95/IF(Source!BA95&lt;&gt;0,Source!BA95,1)*Source!I95),2)</f>
        <v>140.08</v>
      </c>
      <c r="O188">
        <f>IF(Source!BI95=1,((((Source!CT95/IF(Source!BA95&lt;&gt;0,Source!BA95,1)*Source!I95)+(Source!CR95/IF(Source!BB95&lt;&gt;0,Source!BB95,1)*Source!I95)+(Source!CQ95/IF(Source!BC95&lt;&gt;0,Source!BC95,1)*Source!I95))+((Source!FX95/100)*((Source!CT95/IF(Source!BA95&lt;&gt;0,Source!BA95,1)*Source!I95)+(Source!CS95/IF(Source!BS95&lt;&gt;0,Source!BS95,1)*Source!I95)))+((Source!FY95/100)*((Source!CT95/IF(Source!BA95&lt;&gt;0,Source!BA95,1)*Source!I95)+(Source!CS95/IF(Source!BS95&lt;&gt;0,Source!BS95,1)*Source!I95))))),0)</f>
        <v>4763.692800000001</v>
      </c>
      <c r="P188">
        <f>IF(Source!BI95=2,((((Source!CT95/IF(Source!BA95&lt;&gt;0,Source!BA95,1)*Source!I95)+(Source!CR95/IF(Source!BB95&lt;&gt;0,Source!BB95,1)*Source!I95)+(Source!CQ95/IF(Source!BC95&lt;&gt;0,Source!BC95,1)*Source!I95))+((Source!FX95/100)*((Source!CT95/IF(Source!BA95&lt;&gt;0,Source!BA95,1)*Source!I95)+(Source!CS95/IF(Source!BS95&lt;&gt;0,Source!BS95,1)*Source!I95)))+((Source!FY95/100)*((Source!CT95/IF(Source!BA95&lt;&gt;0,Source!BA95,1)*Source!I95)+(Source!CS95/IF(Source!BS95&lt;&gt;0,Source!BS95,1)*Source!I95))))),0)</f>
        <v>0</v>
      </c>
      <c r="Q188">
        <f>IF(Source!BI95=3,((((Source!CT95/IF(Source!BA95&lt;&gt;0,Source!BA95,1)*Source!I95)+(Source!CR95/IF(Source!BB95&lt;&gt;0,Source!BB95,1)*Source!I95)+(Source!CQ95/IF(Source!BC95&lt;&gt;0,Source!BC95,1)*Source!I95))+((Source!FX95/100)*((Source!CT95/IF(Source!BA95&lt;&gt;0,Source!BA95,1)*Source!I95)+(Source!CS95/IF(Source!BS95&lt;&gt;0,Source!BS95,1)*Source!I95)))+((Source!FY95/100)*((Source!CT95/IF(Source!BA95&lt;&gt;0,Source!BA95,1)*Source!I95)+(Source!CS95/IF(Source!BS95&lt;&gt;0,Source!BS95,1)*Source!I95))))),0)</f>
        <v>0</v>
      </c>
      <c r="R188">
        <f>IF(Source!BI95=4,((((Source!CT95/IF(Source!BA95&lt;&gt;0,Source!BA95,1)*Source!I95)+(Source!CR95/IF(Source!BB95&lt;&gt;0,Source!BB95,1)*Source!I95)+(Source!CQ95/IF(Source!BC95&lt;&gt;0,Source!BC95,1)*Source!I95))+((Source!FX95/100)*((Source!CT95/IF(Source!BA95&lt;&gt;0,Source!BA95,1)*Source!I95)+(Source!CS95/IF(Source!BS95&lt;&gt;0,Source!BS95,1)*Source!I95)))+((Source!FY95/100)*((Source!CT95/IF(Source!BA95&lt;&gt;0,Source!BA95,1)*Source!I95)+(Source!CS95/IF(Source!BS95&lt;&gt;0,Source!BS95,1)*Source!I95))))),0)</f>
        <v>0</v>
      </c>
      <c r="S188">
        <f>IF(Source!BI95=1,Source!O95+Source!X95+Source!Y95,0)</f>
        <v>42841.939999999995</v>
      </c>
      <c r="T188">
        <f>IF(Source!BI95=2,Source!O95+Source!X95+Source!Y95,0)</f>
        <v>0</v>
      </c>
      <c r="U188">
        <f>IF(Source!BI95=3,Source!O95+Source!X95+Source!Y95,0)</f>
        <v>0</v>
      </c>
      <c r="V188">
        <f>IF(Source!BI95=4,Source!O95+Source!X95+Source!Y95,0)</f>
        <v>0</v>
      </c>
      <c r="W188">
        <f>ROUND((Source!CS95/IF(Source!BS95&lt;&gt;0,Source!BS95,1)*Source!I95),2)</f>
        <v>229.44</v>
      </c>
    </row>
    <row r="189" spans="1:12" ht="30">
      <c r="A189" s="29" t="str">
        <f>Source!E96</f>
        <v>21</v>
      </c>
      <c r="B189" s="29" t="str">
        <f>Source!F96</f>
        <v>Техчасть индексов</v>
      </c>
      <c r="C189" s="30" t="str">
        <f>Source!G96</f>
        <v>Погрузка  вручную</v>
      </c>
      <c r="D189" s="31" t="str">
        <f>Source!H96</f>
        <v>т</v>
      </c>
      <c r="E189" s="14">
        <f>ROUND(Source!I96,6)</f>
        <v>0.1</v>
      </c>
      <c r="F189" s="16">
        <f>IF(Source!AK96&lt;&gt;0,Source!AK96,Source!AL96+Source!AM96+Source!AO96)</f>
        <v>4.15</v>
      </c>
      <c r="G189" s="14"/>
      <c r="H189" s="14"/>
      <c r="I189" s="32">
        <f>IF(Source!BO96&lt;&gt;"",Source!BO96,"")</f>
      </c>
      <c r="J189" s="14"/>
      <c r="K189" s="14"/>
      <c r="L189" s="14"/>
    </row>
    <row r="190" spans="1:12" ht="15">
      <c r="A190" s="14"/>
      <c r="B190" s="14"/>
      <c r="C190" s="14" t="s">
        <v>429</v>
      </c>
      <c r="D190" s="14"/>
      <c r="E190" s="14"/>
      <c r="F190" s="16">
        <f>Source!AO96</f>
        <v>4.15</v>
      </c>
      <c r="G190" s="32">
        <f>Source!DG96</f>
      </c>
      <c r="H190" s="16">
        <f>ROUND((Source!CT96/IF(Source!BA96&lt;&gt;0,Source!BA96,1)*Source!I96),2)</f>
        <v>0.42</v>
      </c>
      <c r="I190" s="14"/>
      <c r="J190" s="14">
        <f>Source!BA96</f>
        <v>17.84</v>
      </c>
      <c r="K190" s="16">
        <f>Source!S96</f>
        <v>7.4</v>
      </c>
      <c r="L190" s="14"/>
    </row>
    <row r="191" spans="1:24" ht="15">
      <c r="A191" s="14"/>
      <c r="B191" s="14"/>
      <c r="C191" s="14" t="s">
        <v>430</v>
      </c>
      <c r="D191" s="17" t="s">
        <v>431</v>
      </c>
      <c r="E191" s="14"/>
      <c r="F191" s="16">
        <f>Source!BZ96</f>
        <v>100</v>
      </c>
      <c r="G191" s="14"/>
      <c r="H191" s="16">
        <f>X191</f>
        <v>0.42</v>
      </c>
      <c r="I191" s="14" t="str">
        <f>Source!FV96</f>
        <v>((*0.85))</v>
      </c>
      <c r="J191" s="16">
        <f>Source!AT96</f>
        <v>85</v>
      </c>
      <c r="K191" s="16">
        <f>Source!X96</f>
        <v>6.29</v>
      </c>
      <c r="L191" s="14"/>
      <c r="X191">
        <f>ROUND((Source!FX96/100)*(ROUND((Source!CT96/IF(Source!BA96&lt;&gt;0,Source!BA96,1)*Source!I96),2)+ROUND((Source!CS96/IF(Source!BS96&lt;&gt;0,Source!BS96,1)*Source!I96),2)),2)</f>
        <v>0.42</v>
      </c>
    </row>
    <row r="192" spans="1:25" ht="15">
      <c r="A192" s="34"/>
      <c r="B192" s="34"/>
      <c r="C192" s="34" t="s">
        <v>123</v>
      </c>
      <c r="D192" s="35" t="s">
        <v>431</v>
      </c>
      <c r="E192" s="34"/>
      <c r="F192" s="37">
        <f>Source!CA96</f>
        <v>60</v>
      </c>
      <c r="G192" s="34"/>
      <c r="H192" s="37">
        <f>Y192</f>
        <v>0.25</v>
      </c>
      <c r="I192" s="34" t="str">
        <f>Source!FW96</f>
        <v>((*0.8))</v>
      </c>
      <c r="J192" s="37">
        <f>Source!AU96</f>
        <v>48</v>
      </c>
      <c r="K192" s="37">
        <f>Source!Y96</f>
        <v>3.55</v>
      </c>
      <c r="L192" s="34"/>
      <c r="Y192">
        <f>ROUND((Source!FY96/100)*(ROUND((Source!CT96/IF(Source!BA96&lt;&gt;0,Source!BA96,1)*Source!I96),2)+ROUND((Source!CS96/IF(Source!BS96&lt;&gt;0,Source!BS96,1)*Source!I96),2)),2)</f>
        <v>0.25</v>
      </c>
    </row>
    <row r="193" spans="1:23" ht="15.75">
      <c r="A193" s="14"/>
      <c r="B193" s="14"/>
      <c r="C193" s="14"/>
      <c r="D193" s="14"/>
      <c r="E193" s="14"/>
      <c r="F193" s="14"/>
      <c r="G193" s="14"/>
      <c r="H193" s="38">
        <f>ROUND((Source!CT96/IF(Source!BA96&lt;&gt;0,Source!BA96,1)*Source!I96),2)+ROUND((Source!CR96/IF(Source!BB96&lt;&gt;0,Source!BB96,1)*Source!I96),2)+H191+H192</f>
        <v>1.0899999999999999</v>
      </c>
      <c r="I193" s="39"/>
      <c r="J193" s="39"/>
      <c r="K193" s="38">
        <f>Source!S96+Source!Q96+K191+K192</f>
        <v>17.240000000000002</v>
      </c>
      <c r="L193" s="38">
        <f>Source!U96</f>
        <v>0</v>
      </c>
      <c r="M193" s="33">
        <f>H193</f>
        <v>1.0899999999999999</v>
      </c>
      <c r="N193">
        <f>ROUND((Source!CT96/IF(Source!BA96&lt;&gt;0,Source!BA96,1)*Source!I96),2)</f>
        <v>0.42</v>
      </c>
      <c r="O193">
        <f>IF(Source!BI96=1,((((Source!CT96/IF(Source!BA96&lt;&gt;0,Source!BA96,1)*Source!I96)+(Source!CR96/IF(Source!BB96&lt;&gt;0,Source!BB96,1)*Source!I96)+(Source!CQ96/IF(Source!BC96&lt;&gt;0,Source!BC96,1)*Source!I96))+((Source!FX96/100)*((Source!CT96/IF(Source!BA96&lt;&gt;0,Source!BA96,1)*Source!I96)+(Source!CS96/IF(Source!BS96&lt;&gt;0,Source!BS96,1)*Source!I96)))+((Source!FY96/100)*((Source!CT96/IF(Source!BA96&lt;&gt;0,Source!BA96,1)*Source!I96)+(Source!CS96/IF(Source!BS96&lt;&gt;0,Source!BS96,1)*Source!I96))))),0)</f>
        <v>0</v>
      </c>
      <c r="P193">
        <f>IF(Source!BI96=2,((((Source!CT96/IF(Source!BA96&lt;&gt;0,Source!BA96,1)*Source!I96)+(Source!CR96/IF(Source!BB96&lt;&gt;0,Source!BB96,1)*Source!I96)+(Source!CQ96/IF(Source!BC96&lt;&gt;0,Source!BC96,1)*Source!I96))+((Source!FX96/100)*((Source!CT96/IF(Source!BA96&lt;&gt;0,Source!BA96,1)*Source!I96)+(Source!CS96/IF(Source!BS96&lt;&gt;0,Source!BS96,1)*Source!I96)))+((Source!FY96/100)*((Source!CT96/IF(Source!BA96&lt;&gt;0,Source!BA96,1)*Source!I96)+(Source!CS96/IF(Source!BS96&lt;&gt;0,Source!BS96,1)*Source!I96))))),0)</f>
        <v>0</v>
      </c>
      <c r="Q193">
        <f>IF(Source!BI96=3,((((Source!CT96/IF(Source!BA96&lt;&gt;0,Source!BA96,1)*Source!I96)+(Source!CR96/IF(Source!BB96&lt;&gt;0,Source!BB96,1)*Source!I96)+(Source!CQ96/IF(Source!BC96&lt;&gt;0,Source!BC96,1)*Source!I96))+((Source!FX96/100)*((Source!CT96/IF(Source!BA96&lt;&gt;0,Source!BA96,1)*Source!I96)+(Source!CS96/IF(Source!BS96&lt;&gt;0,Source!BS96,1)*Source!I96)))+((Source!FY96/100)*((Source!CT96/IF(Source!BA96&lt;&gt;0,Source!BA96,1)*Source!I96)+(Source!CS96/IF(Source!BS96&lt;&gt;0,Source!BS96,1)*Source!I96))))),0)</f>
        <v>0</v>
      </c>
      <c r="R193">
        <f>IF(Source!BI96=4,((((Source!CT96/IF(Source!BA96&lt;&gt;0,Source!BA96,1)*Source!I96)+(Source!CR96/IF(Source!BB96&lt;&gt;0,Source!BB96,1)*Source!I96)+(Source!CQ96/IF(Source!BC96&lt;&gt;0,Source!BC96,1)*Source!I96))+((Source!FX96/100)*((Source!CT96/IF(Source!BA96&lt;&gt;0,Source!BA96,1)*Source!I96)+(Source!CS96/IF(Source!BS96&lt;&gt;0,Source!BS96,1)*Source!I96)))+((Source!FY96/100)*((Source!CT96/IF(Source!BA96&lt;&gt;0,Source!BA96,1)*Source!I96)+(Source!CS96/IF(Source!BS96&lt;&gt;0,Source!BS96,1)*Source!I96))))),0)</f>
        <v>1.0790000000000002</v>
      </c>
      <c r="S193">
        <f>IF(Source!BI96=1,Source!O96+Source!X96+Source!Y96,0)</f>
        <v>0</v>
      </c>
      <c r="T193">
        <f>IF(Source!BI96=2,Source!O96+Source!X96+Source!Y96,0)</f>
        <v>0</v>
      </c>
      <c r="U193">
        <f>IF(Source!BI96=3,Source!O96+Source!X96+Source!Y96,0)</f>
        <v>0</v>
      </c>
      <c r="V193">
        <f>IF(Source!BI96=4,Source!O96+Source!X96+Source!Y96,0)</f>
        <v>17.240000000000002</v>
      </c>
      <c r="W193">
        <f>ROUND((Source!CS96/IF(Source!BS96&lt;&gt;0,Source!BS96,1)*Source!I96),2)</f>
        <v>0</v>
      </c>
    </row>
    <row r="194" spans="1:12" ht="30">
      <c r="A194" s="29" t="str">
        <f>Source!E97</f>
        <v>22</v>
      </c>
      <c r="B194" s="29" t="str">
        <f>Source!F97</f>
        <v>Техчасть индексов</v>
      </c>
      <c r="C194" s="30" t="str">
        <f>Source!G97</f>
        <v>Вывоз мусора на 10 км</v>
      </c>
      <c r="D194" s="31" t="str">
        <f>Source!H97</f>
        <v>т</v>
      </c>
      <c r="E194" s="14">
        <f>ROUND(Source!I97,6)</f>
        <v>0.1</v>
      </c>
      <c r="F194" s="16">
        <f>IF(Source!AK97&lt;&gt;0,Source!AK97,Source!AL97+Source!AM97+Source!AO97)</f>
        <v>14.63</v>
      </c>
      <c r="G194" s="14"/>
      <c r="H194" s="14"/>
      <c r="I194" s="32">
        <f>IF(Source!BO97&lt;&gt;"",Source!BO97,"")</f>
      </c>
      <c r="J194" s="14"/>
      <c r="K194" s="14"/>
      <c r="L194" s="14"/>
    </row>
    <row r="195" spans="1:12" ht="15">
      <c r="A195" s="34"/>
      <c r="B195" s="34"/>
      <c r="C195" s="34" t="s">
        <v>107</v>
      </c>
      <c r="D195" s="34"/>
      <c r="E195" s="34"/>
      <c r="F195" s="37">
        <f>Source!AM97</f>
        <v>14.63</v>
      </c>
      <c r="G195" s="36">
        <f>Source!DE97</f>
      </c>
      <c r="H195" s="37">
        <f>ROUND((Source!CR97/IF(Source!BB97&lt;&gt;0,Source!BB97,1)*Source!I97),2)</f>
        <v>1.46</v>
      </c>
      <c r="I195" s="34"/>
      <c r="J195" s="34">
        <f>Source!BB97</f>
        <v>5.32</v>
      </c>
      <c r="K195" s="37">
        <f>Source!Q97</f>
        <v>7.78</v>
      </c>
      <c r="L195" s="34"/>
    </row>
    <row r="196" spans="1:23" ht="15.75">
      <c r="A196" s="14"/>
      <c r="B196" s="14"/>
      <c r="C196" s="14"/>
      <c r="D196" s="14"/>
      <c r="E196" s="14"/>
      <c r="F196" s="14"/>
      <c r="G196" s="14"/>
      <c r="H196" s="38">
        <f>ROUND((Source!CT97/IF(Source!BA97&lt;&gt;0,Source!BA97,1)*Source!I97),2)+ROUND((Source!CR97/IF(Source!BB97&lt;&gt;0,Source!BB97,1)*Source!I97),2)</f>
        <v>1.46</v>
      </c>
      <c r="I196" s="39"/>
      <c r="J196" s="39"/>
      <c r="K196" s="38">
        <f>Source!S97+Source!Q97</f>
        <v>7.78</v>
      </c>
      <c r="L196" s="38">
        <f>Source!U97</f>
        <v>0</v>
      </c>
      <c r="M196" s="33">
        <f>H196</f>
        <v>1.46</v>
      </c>
      <c r="N196">
        <f>ROUND((Source!CT97/IF(Source!BA97&lt;&gt;0,Source!BA97,1)*Source!I97),2)</f>
        <v>0</v>
      </c>
      <c r="O196">
        <f>IF(Source!BI97=1,((((Source!CT97/IF(Source!BA97&lt;&gt;0,Source!BA97,1)*Source!I97)+(Source!CR97/IF(Source!BB97&lt;&gt;0,Source!BB97,1)*Source!I97)+(Source!CQ97/IF(Source!BC97&lt;&gt;0,Source!BC97,1)*Source!I97))+((Source!FX97/100)*((Source!CT97/IF(Source!BA97&lt;&gt;0,Source!BA97,1)*Source!I97)+(Source!CS97/IF(Source!BS97&lt;&gt;0,Source!BS97,1)*Source!I97)))+((Source!FY97/100)*((Source!CT97/IF(Source!BA97&lt;&gt;0,Source!BA97,1)*Source!I97)+(Source!CS97/IF(Source!BS97&lt;&gt;0,Source!BS97,1)*Source!I97))))),0)</f>
        <v>0</v>
      </c>
      <c r="P196">
        <f>IF(Source!BI97=2,((((Source!CT97/IF(Source!BA97&lt;&gt;0,Source!BA97,1)*Source!I97)+(Source!CR97/IF(Source!BB97&lt;&gt;0,Source!BB97,1)*Source!I97)+(Source!CQ97/IF(Source!BC97&lt;&gt;0,Source!BC97,1)*Source!I97))+((Source!FX97/100)*((Source!CT97/IF(Source!BA97&lt;&gt;0,Source!BA97,1)*Source!I97)+(Source!CS97/IF(Source!BS97&lt;&gt;0,Source!BS97,1)*Source!I97)))+((Source!FY97/100)*((Source!CT97/IF(Source!BA97&lt;&gt;0,Source!BA97,1)*Source!I97)+(Source!CS97/IF(Source!BS97&lt;&gt;0,Source!BS97,1)*Source!I97))))),0)</f>
        <v>0</v>
      </c>
      <c r="Q196">
        <f>IF(Source!BI97=3,((((Source!CT97/IF(Source!BA97&lt;&gt;0,Source!BA97,1)*Source!I97)+(Source!CR97/IF(Source!BB97&lt;&gt;0,Source!BB97,1)*Source!I97)+(Source!CQ97/IF(Source!BC97&lt;&gt;0,Source!BC97,1)*Source!I97))+((Source!FX97/100)*((Source!CT97/IF(Source!BA97&lt;&gt;0,Source!BA97,1)*Source!I97)+(Source!CS97/IF(Source!BS97&lt;&gt;0,Source!BS97,1)*Source!I97)))+((Source!FY97/100)*((Source!CT97/IF(Source!BA97&lt;&gt;0,Source!BA97,1)*Source!I97)+(Source!CS97/IF(Source!BS97&lt;&gt;0,Source!BS97,1)*Source!I97))))),0)</f>
        <v>0</v>
      </c>
      <c r="R196">
        <f>IF(Source!BI97=4,((((Source!CT97/IF(Source!BA97&lt;&gt;0,Source!BA97,1)*Source!I97)+(Source!CR97/IF(Source!BB97&lt;&gt;0,Source!BB97,1)*Source!I97)+(Source!CQ97/IF(Source!BC97&lt;&gt;0,Source!BC97,1)*Source!I97))+((Source!FX97/100)*((Source!CT97/IF(Source!BA97&lt;&gt;0,Source!BA97,1)*Source!I97)+(Source!CS97/IF(Source!BS97&lt;&gt;0,Source!BS97,1)*Source!I97)))+((Source!FY97/100)*((Source!CT97/IF(Source!BA97&lt;&gt;0,Source!BA97,1)*Source!I97)+(Source!CS97/IF(Source!BS97&lt;&gt;0,Source!BS97,1)*Source!I97))))),0)</f>
        <v>1.463</v>
      </c>
      <c r="S196">
        <f>IF(Source!BI97=1,Source!O97+Source!X97+Source!Y97,0)</f>
        <v>0</v>
      </c>
      <c r="T196">
        <f>IF(Source!BI97=2,Source!O97+Source!X97+Source!Y97,0)</f>
        <v>0</v>
      </c>
      <c r="U196">
        <f>IF(Source!BI97=3,Source!O97+Source!X97+Source!Y97,0)</f>
        <v>0</v>
      </c>
      <c r="V196">
        <f>IF(Source!BI97=4,Source!O97+Source!X97+Source!Y97,0)</f>
        <v>7.78</v>
      </c>
      <c r="W196">
        <f>ROUND((Source!CS97/IF(Source!BS97&lt;&gt;0,Source!BS97,1)*Source!I97),2)</f>
        <v>0</v>
      </c>
    </row>
    <row r="197" spans="1:12" ht="90">
      <c r="A197" s="29" t="str">
        <f>Source!E98</f>
        <v>23</v>
      </c>
      <c r="B197" s="29" t="str">
        <f>Source!F98</f>
        <v>47-01-046-3</v>
      </c>
      <c r="C197" s="30" t="str">
        <f>Source!G98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D197" s="31" t="str">
        <f>Source!H98</f>
        <v>100 м2</v>
      </c>
      <c r="E197" s="14">
        <f>ROUND(Source!I98,6)</f>
        <v>3.1</v>
      </c>
      <c r="F197" s="16">
        <f>IF(Source!AK98&lt;&gt;0,Source!AK98,Source!AL98+Source!AM98+Source!AO98)</f>
        <v>2263.61</v>
      </c>
      <c r="G197" s="14"/>
      <c r="H197" s="14"/>
      <c r="I197" s="32" t="str">
        <f>IF(Source!BO98&lt;&gt;"",Source!BO98,"")</f>
        <v>47-01-046-3</v>
      </c>
      <c r="J197" s="14"/>
      <c r="K197" s="14"/>
      <c r="L197" s="14"/>
    </row>
    <row r="198" spans="1:12" ht="15">
      <c r="A198" s="14"/>
      <c r="B198" s="14"/>
      <c r="C198" s="14" t="s">
        <v>429</v>
      </c>
      <c r="D198" s="14"/>
      <c r="E198" s="14"/>
      <c r="F198" s="16">
        <f>Source!AO98</f>
        <v>278.54</v>
      </c>
      <c r="G198" s="32">
        <f>Source!DG98</f>
      </c>
      <c r="H198" s="16">
        <f>ROUND((Source!CT98/IF(Source!BA98&lt;&gt;0,Source!BA98,1)*Source!I98),2)</f>
        <v>863.47</v>
      </c>
      <c r="I198" s="14"/>
      <c r="J198" s="14">
        <f>Source!BA98</f>
        <v>17.84</v>
      </c>
      <c r="K198" s="16">
        <f>Source!S98</f>
        <v>15404.38</v>
      </c>
      <c r="L198" s="14"/>
    </row>
    <row r="199" spans="1:12" ht="15">
      <c r="A199" s="14"/>
      <c r="B199" s="14"/>
      <c r="C199" s="14" t="s">
        <v>107</v>
      </c>
      <c r="D199" s="14"/>
      <c r="E199" s="14"/>
      <c r="F199" s="16">
        <f>Source!AM98</f>
        <v>6.57</v>
      </c>
      <c r="G199" s="32">
        <f>Source!DE98</f>
      </c>
      <c r="H199" s="16">
        <f>ROUND((Source!CR98/IF(Source!BB98&lt;&gt;0,Source!BB98,1)*Source!I98),2)</f>
        <v>20.37</v>
      </c>
      <c r="I199" s="14"/>
      <c r="J199" s="14">
        <f>Source!BB98</f>
        <v>6.04</v>
      </c>
      <c r="K199" s="16">
        <f>Source!Q98</f>
        <v>123.02</v>
      </c>
      <c r="L199" s="14"/>
    </row>
    <row r="200" spans="1:12" ht="15">
      <c r="A200" s="14"/>
      <c r="B200" s="14"/>
      <c r="C200" s="14" t="s">
        <v>434</v>
      </c>
      <c r="D200" s="14"/>
      <c r="E200" s="14"/>
      <c r="F200" s="16">
        <f>Source!AN98</f>
        <v>0.95</v>
      </c>
      <c r="G200" s="32">
        <f>Source!DF98</f>
      </c>
      <c r="H200" s="40">
        <f>ROUND((Source!CS98/IF(Source!BS98&lt;&gt;0,Source!BS98,1)*Source!I98),2)</f>
        <v>2.95</v>
      </c>
      <c r="I200" s="14"/>
      <c r="J200" s="14">
        <f>Source!BS98</f>
        <v>17.84</v>
      </c>
      <c r="K200" s="40">
        <f>Source!R98</f>
        <v>52.54</v>
      </c>
      <c r="L200" s="14"/>
    </row>
    <row r="201" spans="1:12" ht="15">
      <c r="A201" s="14"/>
      <c r="B201" s="14"/>
      <c r="C201" s="14" t="s">
        <v>435</v>
      </c>
      <c r="D201" s="14"/>
      <c r="E201" s="14"/>
      <c r="F201" s="16">
        <f>Source!AL98</f>
        <v>1978.5</v>
      </c>
      <c r="G201" s="32">
        <f>Source!DD98</f>
      </c>
      <c r="H201" s="16">
        <f>ROUND((Source!CQ98/IF(Source!BC98&lt;&gt;0,Source!BC98,1)*Source!I98),2)</f>
        <v>6133.35</v>
      </c>
      <c r="I201" s="14"/>
      <c r="J201" s="14">
        <f>Source!BC98</f>
        <v>4.33</v>
      </c>
      <c r="K201" s="16">
        <f>Source!P98</f>
        <v>26557.41</v>
      </c>
      <c r="L201" s="14"/>
    </row>
    <row r="202" spans="1:24" ht="15">
      <c r="A202" s="14"/>
      <c r="B202" s="14"/>
      <c r="C202" s="14" t="s">
        <v>430</v>
      </c>
      <c r="D202" s="17" t="s">
        <v>431</v>
      </c>
      <c r="E202" s="14"/>
      <c r="F202" s="16">
        <f>Source!BZ98</f>
        <v>115</v>
      </c>
      <c r="G202" s="14"/>
      <c r="H202" s="16">
        <f>X202+X205+X206+X207</f>
        <v>996.38</v>
      </c>
      <c r="I202" s="14" t="str">
        <f>Source!FV98</f>
        <v>((*0.85))</v>
      </c>
      <c r="J202" s="16">
        <f>Source!AT98</f>
        <v>98</v>
      </c>
      <c r="K202" s="16">
        <f>Source!X98+Source!X99+Source!X100+Source!X101</f>
        <v>15147.78</v>
      </c>
      <c r="L202" s="14"/>
      <c r="X202">
        <f>ROUND((Source!FX98/100)*(ROUND((Source!CT98/IF(Source!BA98&lt;&gt;0,Source!BA98,1)*Source!I98),2)+ROUND((Source!CS98/IF(Source!BS98&lt;&gt;0,Source!BS98,1)*Source!I98),2)),2)</f>
        <v>996.38</v>
      </c>
    </row>
    <row r="203" spans="1:25" ht="15">
      <c r="A203" s="14"/>
      <c r="B203" s="14"/>
      <c r="C203" s="14" t="s">
        <v>123</v>
      </c>
      <c r="D203" s="17" t="s">
        <v>431</v>
      </c>
      <c r="E203" s="14"/>
      <c r="F203" s="16">
        <f>Source!CA98</f>
        <v>90</v>
      </c>
      <c r="G203" s="14"/>
      <c r="H203" s="16">
        <f>Y203+Y205+Y206+Y207</f>
        <v>779.78</v>
      </c>
      <c r="I203" s="14" t="str">
        <f>Source!FW98</f>
        <v>((*0.8))</v>
      </c>
      <c r="J203" s="16">
        <f>Source!AU98</f>
        <v>72</v>
      </c>
      <c r="K203" s="16">
        <f>Source!Y98+Source!Y99+Source!Y100+Source!Y101</f>
        <v>11128.98</v>
      </c>
      <c r="L203" s="14"/>
      <c r="Y203">
        <f>ROUND((Source!FY98/100)*(ROUND((Source!CT98/IF(Source!BA98&lt;&gt;0,Source!BA98,1)*Source!I98),2)+ROUND((Source!CS98/IF(Source!BS98&lt;&gt;0,Source!BS98,1)*Source!I98),2)),2)</f>
        <v>779.78</v>
      </c>
    </row>
    <row r="204" spans="1:12" ht="15">
      <c r="A204" s="14"/>
      <c r="B204" s="14"/>
      <c r="C204" s="14" t="s">
        <v>432</v>
      </c>
      <c r="D204" s="17" t="s">
        <v>433</v>
      </c>
      <c r="E204" s="14">
        <f>Source!AQ98</f>
        <v>35.08</v>
      </c>
      <c r="F204" s="14"/>
      <c r="G204" s="32">
        <f>Source!DI98</f>
      </c>
      <c r="H204" s="14"/>
      <c r="I204" s="14"/>
      <c r="J204" s="14"/>
      <c r="K204" s="14"/>
      <c r="L204" s="16">
        <f>Source!U98</f>
        <v>108.748</v>
      </c>
    </row>
    <row r="205" spans="1:25" ht="30">
      <c r="A205" s="29" t="str">
        <f>Source!E99</f>
        <v>23,1</v>
      </c>
      <c r="B205" s="29" t="str">
        <f>Source!F99</f>
        <v>407-0013</v>
      </c>
      <c r="C205" s="30" t="str">
        <f>Source!G99</f>
        <v>Земля растительная механизированной заготовки</v>
      </c>
      <c r="D205" s="31" t="str">
        <f>Source!H99</f>
        <v>м3</v>
      </c>
      <c r="E205" s="14">
        <f>ROUND(Source!I99,6)</f>
        <v>-46.5</v>
      </c>
      <c r="F205" s="16">
        <f>IF(Source!AL99=0,Source!AK99,Source!AL99)</f>
        <v>131.9</v>
      </c>
      <c r="G205" s="32">
        <f>Source!DD99</f>
      </c>
      <c r="H205" s="41">
        <f>ROUND((Source!CR99/IF(Source!BB99&lt;&gt;0,Source!BB99,1)*Source!I99),2)+ROUND((Source!CQ99/IF(Source!BC99&lt;&gt;0,Source!BC99,1)*Source!I99),2)+ROUND((Source!CT99/IF(Source!BA99&lt;&gt;0,Source!BA99,1)*Source!I99),2)</f>
        <v>-6133.35</v>
      </c>
      <c r="I205" s="32" t="str">
        <f>IF(Source!BO99&lt;&gt;"",Source!BO99,"")</f>
        <v>407-0013</v>
      </c>
      <c r="J205" s="14">
        <f>Source!BC99</f>
        <v>4.33</v>
      </c>
      <c r="K205" s="16">
        <f>Source!O99</f>
        <v>-26557.41</v>
      </c>
      <c r="L205" s="14"/>
      <c r="N205">
        <f>ROUND((Source!CT99/IF(Source!BA99&lt;&gt;0,Source!BA99,1)*Source!I99),2)</f>
        <v>0</v>
      </c>
      <c r="O205">
        <f>IF(Source!BI99=1,(ROUND((Source!CR99/IF(Source!BB99&lt;&gt;0,Source!BB99,1)*Source!I99),2)+ROUND((Source!CQ99/IF(Source!BC99&lt;&gt;0,Source!BC99,1)*Source!I99),2)+ROUND((Source!CT99/IF(Source!BA99&lt;&gt;0,Source!BA99,1)*Source!I99),2)),0)</f>
        <v>-6133.35</v>
      </c>
      <c r="P205">
        <f>IF(Source!BI99=2,(ROUND((Source!CR99/IF(Source!BB99&lt;&gt;0,Source!BB99,1)*Source!I99),2)+ROUND((Source!CQ99/IF(Source!BC99&lt;&gt;0,Source!BC99,1)*Source!I99),2)+ROUND((Source!CT99/IF(Source!BA99&lt;&gt;0,Source!BA99,1)*Source!I99),2)),0)</f>
        <v>0</v>
      </c>
      <c r="Q205">
        <f>IF(Source!BI99=3,(ROUND((Source!CR99/IF(Source!BB99&lt;&gt;0,Source!BB99,1)*Source!I99),2)+ROUND((Source!CQ99/IF(Source!BC99&lt;&gt;0,Source!BC99,1)*Source!I99),2)+ROUND((Source!CT99/IF(Source!BA99&lt;&gt;0,Source!BA99,1)*Source!I99),2)),0)</f>
        <v>0</v>
      </c>
      <c r="R205">
        <f>IF(Source!BI99=4,(ROUND((Source!CR99/IF(Source!BB99&lt;&gt;0,Source!BB99,1)*Source!I99),2)+ROUND((Source!CQ99/IF(Source!BC99&lt;&gt;0,Source!BC99,1)*Source!I99),2)+ROUND((Source!CT99/IF(Source!BA99&lt;&gt;0,Source!BA99,1)*Source!I99),2)),0)</f>
        <v>0</v>
      </c>
      <c r="S205">
        <f>IF(Source!BI99=1,Source!O99+Source!X99+Source!Y99,0)</f>
        <v>-26557.41</v>
      </c>
      <c r="T205">
        <f>IF(Source!BI99=2,Source!O99+Source!X99+Source!Y99,0)</f>
        <v>0</v>
      </c>
      <c r="U205">
        <f>IF(Source!BI99=3,Source!O99+Source!X99+Source!Y99,0)</f>
        <v>0</v>
      </c>
      <c r="V205">
        <f>IF(Source!BI99=4,Source!O99+Source!X99+Source!Y99,0)</f>
        <v>0</v>
      </c>
      <c r="W205">
        <f>ROUND((Source!CS99/IF(Source!BS99&lt;&gt;0,Source!BS99,1)*Source!I99),2)</f>
        <v>0</v>
      </c>
      <c r="X205">
        <f>ROUND((Source!FX99/100)*(ROUND((Source!CT99/IF(Source!BA99&lt;&gt;0,Source!BA99,1)*Source!I99),2)+ROUND((Source!CS99/IF(Source!BS99&lt;&gt;0,Source!BS99,1)*Source!I99),2)),2)</f>
        <v>0</v>
      </c>
      <c r="Y205">
        <f>ROUND((Source!FY99/100)*(ROUND((Source!CT99/IF(Source!BA99&lt;&gt;0,Source!BA99,1)*Source!I99),2)+ROUND((Source!CS99/IF(Source!BS99&lt;&gt;0,Source!BS99,1)*Source!I99),2)),2)</f>
        <v>0</v>
      </c>
    </row>
    <row r="206" spans="1:25" ht="30">
      <c r="A206" s="29" t="str">
        <f>Source!E100</f>
        <v>23,2</v>
      </c>
      <c r="B206" s="29" t="str">
        <f>Source!F100</f>
        <v>407-0013</v>
      </c>
      <c r="C206" s="30" t="str">
        <f>Source!G100</f>
        <v>Земля растительная механизированной заготовки</v>
      </c>
      <c r="D206" s="31" t="str">
        <f>Source!H100</f>
        <v>м3</v>
      </c>
      <c r="E206" s="14">
        <f>ROUND(Source!I100,6)</f>
        <v>15.5</v>
      </c>
      <c r="F206" s="16">
        <f>IF(Source!AL100=0,Source!AK100,Source!AL100)</f>
        <v>131.9</v>
      </c>
      <c r="G206" s="32">
        <f>Source!DD100</f>
      </c>
      <c r="H206" s="41">
        <f>ROUND((Source!CR100/IF(Source!BB100&lt;&gt;0,Source!BB100,1)*Source!I100),2)+ROUND((Source!CQ100/IF(Source!BC100&lt;&gt;0,Source!BC100,1)*Source!I100),2)+ROUND((Source!CT100/IF(Source!BA100&lt;&gt;0,Source!BA100,1)*Source!I100),2)</f>
        <v>2044.45</v>
      </c>
      <c r="I206" s="32" t="str">
        <f>IF(Source!BO100&lt;&gt;"",Source!BO100,"")</f>
        <v>407-0013</v>
      </c>
      <c r="J206" s="14">
        <f>Source!BC100</f>
        <v>4.33</v>
      </c>
      <c r="K206" s="16">
        <f>Source!O100</f>
        <v>8852.47</v>
      </c>
      <c r="L206" s="14"/>
      <c r="N206">
        <f>ROUND((Source!CT100/IF(Source!BA100&lt;&gt;0,Source!BA100,1)*Source!I100),2)</f>
        <v>0</v>
      </c>
      <c r="O206">
        <f>IF(Source!BI100=1,(ROUND((Source!CR100/IF(Source!BB100&lt;&gt;0,Source!BB100,1)*Source!I100),2)+ROUND((Source!CQ100/IF(Source!BC100&lt;&gt;0,Source!BC100,1)*Source!I100),2)+ROUND((Source!CT100/IF(Source!BA100&lt;&gt;0,Source!BA100,1)*Source!I100),2)),0)</f>
        <v>2044.45</v>
      </c>
      <c r="P206">
        <f>IF(Source!BI100=2,(ROUND((Source!CR100/IF(Source!BB100&lt;&gt;0,Source!BB100,1)*Source!I100),2)+ROUND((Source!CQ100/IF(Source!BC100&lt;&gt;0,Source!BC100,1)*Source!I100),2)+ROUND((Source!CT100/IF(Source!BA100&lt;&gt;0,Source!BA100,1)*Source!I100),2)),0)</f>
        <v>0</v>
      </c>
      <c r="Q206">
        <f>IF(Source!BI100=3,(ROUND((Source!CR100/IF(Source!BB100&lt;&gt;0,Source!BB100,1)*Source!I100),2)+ROUND((Source!CQ100/IF(Source!BC100&lt;&gt;0,Source!BC100,1)*Source!I100),2)+ROUND((Source!CT100/IF(Source!BA100&lt;&gt;0,Source!BA100,1)*Source!I100),2)),0)</f>
        <v>0</v>
      </c>
      <c r="R206">
        <f>IF(Source!BI100=4,(ROUND((Source!CR100/IF(Source!BB100&lt;&gt;0,Source!BB100,1)*Source!I100),2)+ROUND((Source!CQ100/IF(Source!BC100&lt;&gt;0,Source!BC100,1)*Source!I100),2)+ROUND((Source!CT100/IF(Source!BA100&lt;&gt;0,Source!BA100,1)*Source!I100),2)),0)</f>
        <v>0</v>
      </c>
      <c r="S206">
        <f>IF(Source!BI100=1,Source!O100+Source!X100+Source!Y100,0)</f>
        <v>8852.47</v>
      </c>
      <c r="T206">
        <f>IF(Source!BI100=2,Source!O100+Source!X100+Source!Y100,0)</f>
        <v>0</v>
      </c>
      <c r="U206">
        <f>IF(Source!BI100=3,Source!O100+Source!X100+Source!Y100,0)</f>
        <v>0</v>
      </c>
      <c r="V206">
        <f>IF(Source!BI100=4,Source!O100+Source!X100+Source!Y100,0)</f>
        <v>0</v>
      </c>
      <c r="W206">
        <f>ROUND((Source!CS100/IF(Source!BS100&lt;&gt;0,Source!BS100,1)*Source!I100),2)</f>
        <v>0</v>
      </c>
      <c r="X206">
        <f>ROUND((Source!FX100/100)*(ROUND((Source!CT100/IF(Source!BA100&lt;&gt;0,Source!BA100,1)*Source!I100),2)+ROUND((Source!CS100/IF(Source!BS100&lt;&gt;0,Source!BS100,1)*Source!I100),2)),2)</f>
        <v>0</v>
      </c>
      <c r="Y206">
        <f>ROUND((Source!FY100/100)*(ROUND((Source!CT100/IF(Source!BA100&lt;&gt;0,Source!BA100,1)*Source!I100),2)+ROUND((Source!CS100/IF(Source!BS100&lt;&gt;0,Source!BS100,1)*Source!I100),2)),2)</f>
        <v>0</v>
      </c>
    </row>
    <row r="207" spans="1:25" ht="30">
      <c r="A207" s="42" t="str">
        <f>Source!E101</f>
        <v>23,3</v>
      </c>
      <c r="B207" s="42" t="str">
        <f>Source!F101</f>
        <v>408-0122</v>
      </c>
      <c r="C207" s="43" t="str">
        <f>Source!G101</f>
        <v>Песок природный для строительных работ средний</v>
      </c>
      <c r="D207" s="44" t="str">
        <f>Source!H101</f>
        <v>м3</v>
      </c>
      <c r="E207" s="34">
        <f>ROUND(Source!I101,6)</f>
        <v>15.5</v>
      </c>
      <c r="F207" s="37">
        <f>IF(Source!AL101=0,Source!AK101,Source!AL101)</f>
        <v>55.26</v>
      </c>
      <c r="G207" s="36">
        <f>Source!DD101</f>
      </c>
      <c r="H207" s="45">
        <f>ROUND((Source!CR101/IF(Source!BB101&lt;&gt;0,Source!BB101,1)*Source!I101),2)+ROUND((Source!CQ101/IF(Source!BC101&lt;&gt;0,Source!BC101,1)*Source!I101),2)+ROUND((Source!CT101/IF(Source!BA101&lt;&gt;0,Source!BA101,1)*Source!I101),2)</f>
        <v>856.53</v>
      </c>
      <c r="I207" s="36" t="str">
        <f>IF(Source!BO101&lt;&gt;"",Source!BO101,"")</f>
        <v>408-0122</v>
      </c>
      <c r="J207" s="34">
        <f>Source!BC101</f>
        <v>9.25</v>
      </c>
      <c r="K207" s="37">
        <f>Source!O101</f>
        <v>7922.9</v>
      </c>
      <c r="L207" s="34"/>
      <c r="N207">
        <f>ROUND((Source!CT101/IF(Source!BA101&lt;&gt;0,Source!BA101,1)*Source!I101),2)</f>
        <v>0</v>
      </c>
      <c r="O207">
        <f>IF(Source!BI101=1,(ROUND((Source!CR101/IF(Source!BB101&lt;&gt;0,Source!BB101,1)*Source!I101),2)+ROUND((Source!CQ101/IF(Source!BC101&lt;&gt;0,Source!BC101,1)*Source!I101),2)+ROUND((Source!CT101/IF(Source!BA101&lt;&gt;0,Source!BA101,1)*Source!I101),2)),0)</f>
        <v>856.53</v>
      </c>
      <c r="P207">
        <f>IF(Source!BI101=2,(ROUND((Source!CR101/IF(Source!BB101&lt;&gt;0,Source!BB101,1)*Source!I101),2)+ROUND((Source!CQ101/IF(Source!BC101&lt;&gt;0,Source!BC101,1)*Source!I101),2)+ROUND((Source!CT101/IF(Source!BA101&lt;&gt;0,Source!BA101,1)*Source!I101),2)),0)</f>
        <v>0</v>
      </c>
      <c r="Q207">
        <f>IF(Source!BI101=3,(ROUND((Source!CR101/IF(Source!BB101&lt;&gt;0,Source!BB101,1)*Source!I101),2)+ROUND((Source!CQ101/IF(Source!BC101&lt;&gt;0,Source!BC101,1)*Source!I101),2)+ROUND((Source!CT101/IF(Source!BA101&lt;&gt;0,Source!BA101,1)*Source!I101),2)),0)</f>
        <v>0</v>
      </c>
      <c r="R207">
        <f>IF(Source!BI101=4,(ROUND((Source!CR101/IF(Source!BB101&lt;&gt;0,Source!BB101,1)*Source!I101),2)+ROUND((Source!CQ101/IF(Source!BC101&lt;&gt;0,Source!BC101,1)*Source!I101),2)+ROUND((Source!CT101/IF(Source!BA101&lt;&gt;0,Source!BA101,1)*Source!I101),2)),0)</f>
        <v>0</v>
      </c>
      <c r="S207">
        <f>IF(Source!BI101=1,Source!O101+Source!X101+Source!Y101,0)</f>
        <v>7922.9</v>
      </c>
      <c r="T207">
        <f>IF(Source!BI101=2,Source!O101+Source!X101+Source!Y101,0)</f>
        <v>0</v>
      </c>
      <c r="U207">
        <f>IF(Source!BI101=3,Source!O101+Source!X101+Source!Y101,0)</f>
        <v>0</v>
      </c>
      <c r="V207">
        <f>IF(Source!BI101=4,Source!O101+Source!X101+Source!Y101,0)</f>
        <v>0</v>
      </c>
      <c r="W207">
        <f>ROUND((Source!CS101/IF(Source!BS101&lt;&gt;0,Source!BS101,1)*Source!I101),2)</f>
        <v>0</v>
      </c>
      <c r="X207">
        <f>ROUND((Source!FX101/100)*(ROUND((Source!CT101/IF(Source!BA101&lt;&gt;0,Source!BA101,1)*Source!I101),2)+ROUND((Source!CS101/IF(Source!BS101&lt;&gt;0,Source!BS101,1)*Source!I101),2)),2)</f>
        <v>0</v>
      </c>
      <c r="Y207">
        <f>ROUND((Source!FY101/100)*(ROUND((Source!CT101/IF(Source!BA101&lt;&gt;0,Source!BA101,1)*Source!I101),2)+ROUND((Source!CS101/IF(Source!BS101&lt;&gt;0,Source!BS101,1)*Source!I101),2)),2)</f>
        <v>0</v>
      </c>
    </row>
    <row r="208" spans="1:23" ht="15.75">
      <c r="A208" s="14"/>
      <c r="B208" s="14"/>
      <c r="C208" s="14"/>
      <c r="D208" s="14"/>
      <c r="E208" s="14"/>
      <c r="F208" s="14"/>
      <c r="G208" s="14"/>
      <c r="H208" s="38">
        <f>ROUND((Source!CT98/IF(Source!BA98&lt;&gt;0,Source!BA98,1)*Source!I98),2)+ROUND((Source!CR98/IF(Source!BB98&lt;&gt;0,Source!BB98,1)*Source!I98),2)+H201+H202+H203+H205+H206+H207</f>
        <v>5560.98</v>
      </c>
      <c r="I208" s="39"/>
      <c r="J208" s="39"/>
      <c r="K208" s="38">
        <f>Source!S98+Source!Q98+K201+K202+K203+K205+K206+K207</f>
        <v>58579.52999999999</v>
      </c>
      <c r="L208" s="38">
        <f>Source!U98</f>
        <v>108.748</v>
      </c>
      <c r="M208" s="33">
        <f>H208</f>
        <v>5560.98</v>
      </c>
      <c r="N208">
        <f>ROUND((Source!CT98/IF(Source!BA98&lt;&gt;0,Source!BA98,1)*Source!I98),2)</f>
        <v>863.47</v>
      </c>
      <c r="O208">
        <f>IF(Source!BI98=1,((((Source!CT98/IF(Source!BA98&lt;&gt;0,Source!BA98,1)*Source!I98)+(Source!CR98/IF(Source!BB98&lt;&gt;0,Source!BB98,1)*Source!I98)+(Source!CQ98/IF(Source!BC98&lt;&gt;0,Source!BC98,1)*Source!I98))+((Source!FX98/100)*((Source!CT98/IF(Source!BA98&lt;&gt;0,Source!BA98,1)*Source!I98)+(Source!CS98/IF(Source!BS98&lt;&gt;0,Source!BS98,1)*Source!I98)))+((Source!FY98/100)*((Source!CT98/IF(Source!BA98&lt;&gt;0,Source!BA98,1)*Source!I98)+(Source!CS98/IF(Source!BS98&lt;&gt;0,Source!BS98,1)*Source!I98))))),0)</f>
        <v>8793.349950000002</v>
      </c>
      <c r="P208">
        <f>IF(Source!BI98=2,((((Source!CT98/IF(Source!BA98&lt;&gt;0,Source!BA98,1)*Source!I98)+(Source!CR98/IF(Source!BB98&lt;&gt;0,Source!BB98,1)*Source!I98)+(Source!CQ98/IF(Source!BC98&lt;&gt;0,Source!BC98,1)*Source!I98))+((Source!FX98/100)*((Source!CT98/IF(Source!BA98&lt;&gt;0,Source!BA98,1)*Source!I98)+(Source!CS98/IF(Source!BS98&lt;&gt;0,Source!BS98,1)*Source!I98)))+((Source!FY98/100)*((Source!CT98/IF(Source!BA98&lt;&gt;0,Source!BA98,1)*Source!I98)+(Source!CS98/IF(Source!BS98&lt;&gt;0,Source!BS98,1)*Source!I98))))),0)</f>
        <v>0</v>
      </c>
      <c r="Q208">
        <f>IF(Source!BI98=3,((((Source!CT98/IF(Source!BA98&lt;&gt;0,Source!BA98,1)*Source!I98)+(Source!CR98/IF(Source!BB98&lt;&gt;0,Source!BB98,1)*Source!I98)+(Source!CQ98/IF(Source!BC98&lt;&gt;0,Source!BC98,1)*Source!I98))+((Source!FX98/100)*((Source!CT98/IF(Source!BA98&lt;&gt;0,Source!BA98,1)*Source!I98)+(Source!CS98/IF(Source!BS98&lt;&gt;0,Source!BS98,1)*Source!I98)))+((Source!FY98/100)*((Source!CT98/IF(Source!BA98&lt;&gt;0,Source!BA98,1)*Source!I98)+(Source!CS98/IF(Source!BS98&lt;&gt;0,Source!BS98,1)*Source!I98))))),0)</f>
        <v>0</v>
      </c>
      <c r="R208">
        <f>IF(Source!BI98=4,((((Source!CT98/IF(Source!BA98&lt;&gt;0,Source!BA98,1)*Source!I98)+(Source!CR98/IF(Source!BB98&lt;&gt;0,Source!BB98,1)*Source!I98)+(Source!CQ98/IF(Source!BC98&lt;&gt;0,Source!BC98,1)*Source!I98))+((Source!FX98/100)*((Source!CT98/IF(Source!BA98&lt;&gt;0,Source!BA98,1)*Source!I98)+(Source!CS98/IF(Source!BS98&lt;&gt;0,Source!BS98,1)*Source!I98)))+((Source!FY98/100)*((Source!CT98/IF(Source!BA98&lt;&gt;0,Source!BA98,1)*Source!I98)+(Source!CS98/IF(Source!BS98&lt;&gt;0,Source!BS98,1)*Source!I98))))),0)</f>
        <v>0</v>
      </c>
      <c r="S208">
        <f>IF(Source!BI98=1,Source!O98+Source!X98+Source!Y98,0)</f>
        <v>68361.56999999999</v>
      </c>
      <c r="T208">
        <f>IF(Source!BI98=2,Source!O98+Source!X98+Source!Y98,0)</f>
        <v>0</v>
      </c>
      <c r="U208">
        <f>IF(Source!BI98=3,Source!O98+Source!X98+Source!Y98,0)</f>
        <v>0</v>
      </c>
      <c r="V208">
        <f>IF(Source!BI98=4,Source!O98+Source!X98+Source!Y98,0)</f>
        <v>0</v>
      </c>
      <c r="W208">
        <f>ROUND((Source!CS98/IF(Source!BS98&lt;&gt;0,Source!BS98,1)*Source!I98),2)</f>
        <v>2.95</v>
      </c>
    </row>
    <row r="210" spans="3:23" s="39" customFormat="1" ht="15.75">
      <c r="C210" s="39" t="s">
        <v>174</v>
      </c>
      <c r="G210" s="91">
        <f>SUM(M181:M209)</f>
        <v>10327.220000000001</v>
      </c>
      <c r="H210" s="91"/>
      <c r="J210" s="91">
        <f>ROUND(Source!AB93+Source!AK93+Source!AL93+Source!AE93*0/100,2)</f>
        <v>101446.49</v>
      </c>
      <c r="K210" s="91"/>
      <c r="L210" s="38">
        <f>Source!AH93</f>
        <v>125.31</v>
      </c>
      <c r="N210" s="38">
        <f aca="true" t="shared" si="2" ref="N210:W210">SUM(N181:N209)</f>
        <v>1003.97</v>
      </c>
      <c r="O210" s="38">
        <f t="shared" si="2"/>
        <v>10324.672750000002</v>
      </c>
      <c r="P210" s="38">
        <f t="shared" si="2"/>
        <v>0</v>
      </c>
      <c r="Q210" s="38">
        <f t="shared" si="2"/>
        <v>0</v>
      </c>
      <c r="R210" s="38">
        <f t="shared" si="2"/>
        <v>2.5420000000000003</v>
      </c>
      <c r="S210" s="38">
        <f t="shared" si="2"/>
        <v>101421.46999999999</v>
      </c>
      <c r="T210" s="38">
        <f t="shared" si="2"/>
        <v>0</v>
      </c>
      <c r="U210" s="38">
        <f t="shared" si="2"/>
        <v>0</v>
      </c>
      <c r="V210" s="38">
        <f t="shared" si="2"/>
        <v>25.020000000000003</v>
      </c>
      <c r="W210" s="39">
        <f t="shared" si="2"/>
        <v>232.39</v>
      </c>
    </row>
    <row r="212" spans="3:30" ht="18">
      <c r="C212" s="26" t="s">
        <v>428</v>
      </c>
      <c r="D212" s="89" t="str">
        <f>IF(Source!C12="1",Source!F119,Source!G119)</f>
        <v>Внутридворовая территория около д. 35а</v>
      </c>
      <c r="E212" s="92"/>
      <c r="F212" s="92"/>
      <c r="G212" s="92"/>
      <c r="H212" s="92"/>
      <c r="I212" s="92"/>
      <c r="J212" s="92"/>
      <c r="K212" s="92"/>
      <c r="L212" s="92"/>
      <c r="AD212" s="28" t="str">
        <f>IF(Source!C12="1",Source!F119,Source!G119)</f>
        <v>Внутридворовая территория около д. 35а</v>
      </c>
    </row>
    <row r="214" spans="1:12" ht="90">
      <c r="A214" s="29" t="str">
        <f>Source!E123</f>
        <v>24</v>
      </c>
      <c r="B214" s="29" t="str">
        <f>Source!F123</f>
        <v>47-01-046-3</v>
      </c>
      <c r="C214" s="30" t="str">
        <f>Source!G123</f>
        <v>Подготовка почвы для устройства партерного и обыкновенного газона с внесением растительной земли слоем 10 см механизированным способом</v>
      </c>
      <c r="D214" s="31" t="str">
        <f>Source!H123</f>
        <v>100 м2</v>
      </c>
      <c r="E214" s="14">
        <f>ROUND(Source!I123,6)</f>
        <v>4.07</v>
      </c>
      <c r="F214" s="16">
        <f>IF(Source!AK123&lt;&gt;0,Source!AK123,Source!AL123+Source!AM123+Source!AO123)</f>
        <v>2263.61</v>
      </c>
      <c r="G214" s="14"/>
      <c r="H214" s="14"/>
      <c r="I214" s="32" t="str">
        <f>IF(Source!BO123&lt;&gt;"",Source!BO123,"")</f>
        <v>47-01-046-3</v>
      </c>
      <c r="J214" s="14"/>
      <c r="K214" s="14"/>
      <c r="L214" s="14"/>
    </row>
    <row r="215" spans="1:12" ht="15">
      <c r="A215" s="14"/>
      <c r="B215" s="14"/>
      <c r="C215" s="14" t="s">
        <v>429</v>
      </c>
      <c r="D215" s="14"/>
      <c r="E215" s="14"/>
      <c r="F215" s="16">
        <f>Source!AO123</f>
        <v>278.54</v>
      </c>
      <c r="G215" s="32">
        <f>Source!DG123</f>
      </c>
      <c r="H215" s="16">
        <f>ROUND((Source!CT123/IF(Source!BA123&lt;&gt;0,Source!BA123,1)*Source!I123),2)</f>
        <v>1133.66</v>
      </c>
      <c r="I215" s="14"/>
      <c r="J215" s="14">
        <f>Source!BA123</f>
        <v>17.84</v>
      </c>
      <c r="K215" s="16">
        <f>Source!S123</f>
        <v>20224.46</v>
      </c>
      <c r="L215" s="14"/>
    </row>
    <row r="216" spans="1:12" ht="15">
      <c r="A216" s="14"/>
      <c r="B216" s="14"/>
      <c r="C216" s="14" t="s">
        <v>107</v>
      </c>
      <c r="D216" s="14"/>
      <c r="E216" s="14"/>
      <c r="F216" s="16">
        <f>Source!AM123</f>
        <v>6.57</v>
      </c>
      <c r="G216" s="32">
        <f>Source!DE123</f>
      </c>
      <c r="H216" s="16">
        <f>ROUND((Source!CR123/IF(Source!BB123&lt;&gt;0,Source!BB123,1)*Source!I123),2)</f>
        <v>26.74</v>
      </c>
      <c r="I216" s="14"/>
      <c r="J216" s="14">
        <f>Source!BB123</f>
        <v>6.04</v>
      </c>
      <c r="K216" s="16">
        <f>Source!Q123</f>
        <v>161.51</v>
      </c>
      <c r="L216" s="14"/>
    </row>
    <row r="217" spans="1:12" ht="15">
      <c r="A217" s="14"/>
      <c r="B217" s="14"/>
      <c r="C217" s="14" t="s">
        <v>434</v>
      </c>
      <c r="D217" s="14"/>
      <c r="E217" s="14"/>
      <c r="F217" s="16">
        <f>Source!AN123</f>
        <v>0.95</v>
      </c>
      <c r="G217" s="32">
        <f>Source!DF123</f>
      </c>
      <c r="H217" s="40">
        <f>ROUND((Source!CS123/IF(Source!BS123&lt;&gt;0,Source!BS123,1)*Source!I123),2)</f>
        <v>3.87</v>
      </c>
      <c r="I217" s="14"/>
      <c r="J217" s="14">
        <f>Source!BS123</f>
        <v>17.84</v>
      </c>
      <c r="K217" s="40">
        <f>Source!R123</f>
        <v>68.98</v>
      </c>
      <c r="L217" s="14"/>
    </row>
    <row r="218" spans="1:12" ht="15">
      <c r="A218" s="14"/>
      <c r="B218" s="14"/>
      <c r="C218" s="14" t="s">
        <v>435</v>
      </c>
      <c r="D218" s="14"/>
      <c r="E218" s="14"/>
      <c r="F218" s="16">
        <f>Source!AL123</f>
        <v>1978.5</v>
      </c>
      <c r="G218" s="32">
        <f>Source!DD123</f>
      </c>
      <c r="H218" s="16">
        <f>ROUND((Source!CQ123/IF(Source!BC123&lt;&gt;0,Source!BC123,1)*Source!I123),2)</f>
        <v>8052.5</v>
      </c>
      <c r="I218" s="14"/>
      <c r="J218" s="14">
        <f>Source!BC123</f>
        <v>4.33</v>
      </c>
      <c r="K218" s="16">
        <f>Source!P123</f>
        <v>34867.3</v>
      </c>
      <c r="L218" s="14"/>
    </row>
    <row r="219" spans="1:24" ht="15">
      <c r="A219" s="14"/>
      <c r="B219" s="14"/>
      <c r="C219" s="14" t="s">
        <v>430</v>
      </c>
      <c r="D219" s="17" t="s">
        <v>431</v>
      </c>
      <c r="E219" s="14"/>
      <c r="F219" s="16">
        <f>Source!BZ123</f>
        <v>115</v>
      </c>
      <c r="G219" s="14"/>
      <c r="H219" s="16">
        <f>X219+X222+X223+X224</f>
        <v>1308.16</v>
      </c>
      <c r="I219" s="14" t="str">
        <f>Source!FV123</f>
        <v>((*0.85))</v>
      </c>
      <c r="J219" s="16">
        <f>Source!AT123</f>
        <v>98</v>
      </c>
      <c r="K219" s="16">
        <f>Source!X123+Source!X124+Source!X125+Source!X126</f>
        <v>19887.57</v>
      </c>
      <c r="L219" s="14"/>
      <c r="X219">
        <f>ROUND((Source!FX123/100)*(ROUND((Source!CT123/IF(Source!BA123&lt;&gt;0,Source!BA123,1)*Source!I123),2)+ROUND((Source!CS123/IF(Source!BS123&lt;&gt;0,Source!BS123,1)*Source!I123),2)),2)</f>
        <v>1308.16</v>
      </c>
    </row>
    <row r="220" spans="1:25" ht="15">
      <c r="A220" s="14"/>
      <c r="B220" s="14"/>
      <c r="C220" s="14" t="s">
        <v>123</v>
      </c>
      <c r="D220" s="17" t="s">
        <v>431</v>
      </c>
      <c r="E220" s="14"/>
      <c r="F220" s="16">
        <f>Source!CA123</f>
        <v>90</v>
      </c>
      <c r="G220" s="14"/>
      <c r="H220" s="16">
        <f>Y220+Y222+Y223+Y224</f>
        <v>1023.78</v>
      </c>
      <c r="I220" s="14" t="str">
        <f>Source!FW123</f>
        <v>((*0.8))</v>
      </c>
      <c r="J220" s="16">
        <f>Source!AU123</f>
        <v>72</v>
      </c>
      <c r="K220" s="16">
        <f>Source!Y123+Source!Y124+Source!Y125+Source!Y126</f>
        <v>14611.28</v>
      </c>
      <c r="L220" s="14"/>
      <c r="Y220">
        <f>ROUND((Source!FY123/100)*(ROUND((Source!CT123/IF(Source!BA123&lt;&gt;0,Source!BA123,1)*Source!I123),2)+ROUND((Source!CS123/IF(Source!BS123&lt;&gt;0,Source!BS123,1)*Source!I123),2)),2)</f>
        <v>1023.78</v>
      </c>
    </row>
    <row r="221" spans="1:12" ht="15">
      <c r="A221" s="14"/>
      <c r="B221" s="14"/>
      <c r="C221" s="14" t="s">
        <v>432</v>
      </c>
      <c r="D221" s="17" t="s">
        <v>433</v>
      </c>
      <c r="E221" s="14">
        <f>Source!AQ123</f>
        <v>35.08</v>
      </c>
      <c r="F221" s="14"/>
      <c r="G221" s="32">
        <f>Source!DI123</f>
      </c>
      <c r="H221" s="14"/>
      <c r="I221" s="14"/>
      <c r="J221" s="14"/>
      <c r="K221" s="14"/>
      <c r="L221" s="16">
        <f>Source!U123</f>
        <v>142.7756</v>
      </c>
    </row>
    <row r="222" spans="1:25" ht="30">
      <c r="A222" s="29" t="str">
        <f>Source!E124</f>
        <v>24,1</v>
      </c>
      <c r="B222" s="29" t="str">
        <f>Source!F124</f>
        <v>407-0013</v>
      </c>
      <c r="C222" s="30" t="str">
        <f>Source!G124</f>
        <v>Земля растительная механизированной заготовки</v>
      </c>
      <c r="D222" s="31" t="str">
        <f>Source!H124</f>
        <v>м3</v>
      </c>
      <c r="E222" s="14">
        <f>ROUND(Source!I124,6)</f>
        <v>-61.05</v>
      </c>
      <c r="F222" s="16">
        <f>IF(Source!AL124=0,Source!AK124,Source!AL124)</f>
        <v>131.9</v>
      </c>
      <c r="G222" s="32">
        <f>Source!DD124</f>
      </c>
      <c r="H222" s="41">
        <f>ROUND((Source!CR124/IF(Source!BB124&lt;&gt;0,Source!BB124,1)*Source!I124),2)+ROUND((Source!CQ124/IF(Source!BC124&lt;&gt;0,Source!BC124,1)*Source!I124),2)+ROUND((Source!CT124/IF(Source!BA124&lt;&gt;0,Source!BA124,1)*Source!I124),2)</f>
        <v>-8052.5</v>
      </c>
      <c r="I222" s="32" t="str">
        <f>IF(Source!BO124&lt;&gt;"",Source!BO124,"")</f>
        <v>407-0013</v>
      </c>
      <c r="J222" s="14">
        <f>Source!BC124</f>
        <v>4.33</v>
      </c>
      <c r="K222" s="16">
        <f>Source!O124</f>
        <v>-34867.3</v>
      </c>
      <c r="L222" s="14"/>
      <c r="N222">
        <f>ROUND((Source!CT124/IF(Source!BA124&lt;&gt;0,Source!BA124,1)*Source!I124),2)</f>
        <v>0</v>
      </c>
      <c r="O222">
        <f>IF(Source!BI124=1,(ROUND((Source!CR124/IF(Source!BB124&lt;&gt;0,Source!BB124,1)*Source!I124),2)+ROUND((Source!CQ124/IF(Source!BC124&lt;&gt;0,Source!BC124,1)*Source!I124),2)+ROUND((Source!CT124/IF(Source!BA124&lt;&gt;0,Source!BA124,1)*Source!I124),2)),0)</f>
        <v>-8052.5</v>
      </c>
      <c r="P222">
        <f>IF(Source!BI124=2,(ROUND((Source!CR124/IF(Source!BB124&lt;&gt;0,Source!BB124,1)*Source!I124),2)+ROUND((Source!CQ124/IF(Source!BC124&lt;&gt;0,Source!BC124,1)*Source!I124),2)+ROUND((Source!CT124/IF(Source!BA124&lt;&gt;0,Source!BA124,1)*Source!I124),2)),0)</f>
        <v>0</v>
      </c>
      <c r="Q222">
        <f>IF(Source!BI124=3,(ROUND((Source!CR124/IF(Source!BB124&lt;&gt;0,Source!BB124,1)*Source!I124),2)+ROUND((Source!CQ124/IF(Source!BC124&lt;&gt;0,Source!BC124,1)*Source!I124),2)+ROUND((Source!CT124/IF(Source!BA124&lt;&gt;0,Source!BA124,1)*Source!I124),2)),0)</f>
        <v>0</v>
      </c>
      <c r="R222">
        <f>IF(Source!BI124=4,(ROUND((Source!CR124/IF(Source!BB124&lt;&gt;0,Source!BB124,1)*Source!I124),2)+ROUND((Source!CQ124/IF(Source!BC124&lt;&gt;0,Source!BC124,1)*Source!I124),2)+ROUND((Source!CT124/IF(Source!BA124&lt;&gt;0,Source!BA124,1)*Source!I124),2)),0)</f>
        <v>0</v>
      </c>
      <c r="S222">
        <f>IF(Source!BI124=1,Source!O124+Source!X124+Source!Y124,0)</f>
        <v>-34867.3</v>
      </c>
      <c r="T222">
        <f>IF(Source!BI124=2,Source!O124+Source!X124+Source!Y124,0)</f>
        <v>0</v>
      </c>
      <c r="U222">
        <f>IF(Source!BI124=3,Source!O124+Source!X124+Source!Y124,0)</f>
        <v>0</v>
      </c>
      <c r="V222">
        <f>IF(Source!BI124=4,Source!O124+Source!X124+Source!Y124,0)</f>
        <v>0</v>
      </c>
      <c r="W222">
        <f>ROUND((Source!CS124/IF(Source!BS124&lt;&gt;0,Source!BS124,1)*Source!I124),2)</f>
        <v>0</v>
      </c>
      <c r="X222">
        <f>ROUND((Source!FX124/100)*(ROUND((Source!CT124/IF(Source!BA124&lt;&gt;0,Source!BA124,1)*Source!I124),2)+ROUND((Source!CS124/IF(Source!BS124&lt;&gt;0,Source!BS124,1)*Source!I124),2)),2)</f>
        <v>0</v>
      </c>
      <c r="Y222">
        <f>ROUND((Source!FY124/100)*(ROUND((Source!CT124/IF(Source!BA124&lt;&gt;0,Source!BA124,1)*Source!I124),2)+ROUND((Source!CS124/IF(Source!BS124&lt;&gt;0,Source!BS124,1)*Source!I124),2)),2)</f>
        <v>0</v>
      </c>
    </row>
    <row r="223" spans="1:25" ht="30">
      <c r="A223" s="29" t="str">
        <f>Source!E125</f>
        <v>24,2</v>
      </c>
      <c r="B223" s="29" t="str">
        <f>Source!F125</f>
        <v>407-0013</v>
      </c>
      <c r="C223" s="30" t="str">
        <f>Source!G125</f>
        <v>Земля растительная механизированной заготовки</v>
      </c>
      <c r="D223" s="31" t="str">
        <f>Source!H125</f>
        <v>м3</v>
      </c>
      <c r="E223" s="14">
        <f>ROUND(Source!I125,6)</f>
        <v>20.35</v>
      </c>
      <c r="F223" s="16">
        <f>IF(Source!AL125=0,Source!AK125,Source!AL125)</f>
        <v>131.9</v>
      </c>
      <c r="G223" s="32">
        <f>Source!DD125</f>
      </c>
      <c r="H223" s="41">
        <f>ROUND((Source!CR125/IF(Source!BB125&lt;&gt;0,Source!BB125,1)*Source!I125),2)+ROUND((Source!CQ125/IF(Source!BC125&lt;&gt;0,Source!BC125,1)*Source!I125),2)+ROUND((Source!CT125/IF(Source!BA125&lt;&gt;0,Source!BA125,1)*Source!I125),2)</f>
        <v>2684.17</v>
      </c>
      <c r="I223" s="32" t="str">
        <f>IF(Source!BO125&lt;&gt;"",Source!BO125,"")</f>
        <v>407-0013</v>
      </c>
      <c r="J223" s="14">
        <f>Source!BC125</f>
        <v>4.33</v>
      </c>
      <c r="K223" s="16">
        <f>Source!O125</f>
        <v>11622.43</v>
      </c>
      <c r="L223" s="14"/>
      <c r="N223">
        <f>ROUND((Source!CT125/IF(Source!BA125&lt;&gt;0,Source!BA125,1)*Source!I125),2)</f>
        <v>0</v>
      </c>
      <c r="O223">
        <f>IF(Source!BI125=1,(ROUND((Source!CR125/IF(Source!BB125&lt;&gt;0,Source!BB125,1)*Source!I125),2)+ROUND((Source!CQ125/IF(Source!BC125&lt;&gt;0,Source!BC125,1)*Source!I125),2)+ROUND((Source!CT125/IF(Source!BA125&lt;&gt;0,Source!BA125,1)*Source!I125),2)),0)</f>
        <v>2684.17</v>
      </c>
      <c r="P223">
        <f>IF(Source!BI125=2,(ROUND((Source!CR125/IF(Source!BB125&lt;&gt;0,Source!BB125,1)*Source!I125),2)+ROUND((Source!CQ125/IF(Source!BC125&lt;&gt;0,Source!BC125,1)*Source!I125),2)+ROUND((Source!CT125/IF(Source!BA125&lt;&gt;0,Source!BA125,1)*Source!I125),2)),0)</f>
        <v>0</v>
      </c>
      <c r="Q223">
        <f>IF(Source!BI125=3,(ROUND((Source!CR125/IF(Source!BB125&lt;&gt;0,Source!BB125,1)*Source!I125),2)+ROUND((Source!CQ125/IF(Source!BC125&lt;&gt;0,Source!BC125,1)*Source!I125),2)+ROUND((Source!CT125/IF(Source!BA125&lt;&gt;0,Source!BA125,1)*Source!I125),2)),0)</f>
        <v>0</v>
      </c>
      <c r="R223">
        <f>IF(Source!BI125=4,(ROUND((Source!CR125/IF(Source!BB125&lt;&gt;0,Source!BB125,1)*Source!I125),2)+ROUND((Source!CQ125/IF(Source!BC125&lt;&gt;0,Source!BC125,1)*Source!I125),2)+ROUND((Source!CT125/IF(Source!BA125&lt;&gt;0,Source!BA125,1)*Source!I125),2)),0)</f>
        <v>0</v>
      </c>
      <c r="S223">
        <f>IF(Source!BI125=1,Source!O125+Source!X125+Source!Y125,0)</f>
        <v>11622.43</v>
      </c>
      <c r="T223">
        <f>IF(Source!BI125=2,Source!O125+Source!X125+Source!Y125,0)</f>
        <v>0</v>
      </c>
      <c r="U223">
        <f>IF(Source!BI125=3,Source!O125+Source!X125+Source!Y125,0)</f>
        <v>0</v>
      </c>
      <c r="V223">
        <f>IF(Source!BI125=4,Source!O125+Source!X125+Source!Y125,0)</f>
        <v>0</v>
      </c>
      <c r="W223">
        <f>ROUND((Source!CS125/IF(Source!BS125&lt;&gt;0,Source!BS125,1)*Source!I125),2)</f>
        <v>0</v>
      </c>
      <c r="X223">
        <f>ROUND((Source!FX125/100)*(ROUND((Source!CT125/IF(Source!BA125&lt;&gt;0,Source!BA125,1)*Source!I125),2)+ROUND((Source!CS125/IF(Source!BS125&lt;&gt;0,Source!BS125,1)*Source!I125),2)),2)</f>
        <v>0</v>
      </c>
      <c r="Y223">
        <f>ROUND((Source!FY125/100)*(ROUND((Source!CT125/IF(Source!BA125&lt;&gt;0,Source!BA125,1)*Source!I125),2)+ROUND((Source!CS125/IF(Source!BS125&lt;&gt;0,Source!BS125,1)*Source!I125),2)),2)</f>
        <v>0</v>
      </c>
    </row>
    <row r="224" spans="1:25" ht="30">
      <c r="A224" s="42" t="str">
        <f>Source!E126</f>
        <v>24,3</v>
      </c>
      <c r="B224" s="42" t="str">
        <f>Source!F126</f>
        <v>408-0122</v>
      </c>
      <c r="C224" s="43" t="str">
        <f>Source!G126</f>
        <v>Песок природный для строительных работ средний</v>
      </c>
      <c r="D224" s="44" t="str">
        <f>Source!H126</f>
        <v>м3</v>
      </c>
      <c r="E224" s="34">
        <f>ROUND(Source!I126,6)</f>
        <v>20.35</v>
      </c>
      <c r="F224" s="37">
        <f>IF(Source!AL126=0,Source!AK126,Source!AL126)</f>
        <v>55.26</v>
      </c>
      <c r="G224" s="36">
        <f>Source!DD126</f>
      </c>
      <c r="H224" s="45">
        <f>ROUND((Source!CR126/IF(Source!BB126&lt;&gt;0,Source!BB126,1)*Source!I126),2)+ROUND((Source!CQ126/IF(Source!BC126&lt;&gt;0,Source!BC126,1)*Source!I126),2)+ROUND((Source!CT126/IF(Source!BA126&lt;&gt;0,Source!BA126,1)*Source!I126),2)</f>
        <v>1124.54</v>
      </c>
      <c r="I224" s="36" t="str">
        <f>IF(Source!BO126&lt;&gt;"",Source!BO126,"")</f>
        <v>408-0122</v>
      </c>
      <c r="J224" s="34">
        <f>Source!BC126</f>
        <v>9.25</v>
      </c>
      <c r="K224" s="37">
        <f>Source!O126</f>
        <v>10402</v>
      </c>
      <c r="L224" s="34"/>
      <c r="N224">
        <f>ROUND((Source!CT126/IF(Source!BA126&lt;&gt;0,Source!BA126,1)*Source!I126),2)</f>
        <v>0</v>
      </c>
      <c r="O224">
        <f>IF(Source!BI126=1,(ROUND((Source!CR126/IF(Source!BB126&lt;&gt;0,Source!BB126,1)*Source!I126),2)+ROUND((Source!CQ126/IF(Source!BC126&lt;&gt;0,Source!BC126,1)*Source!I126),2)+ROUND((Source!CT126/IF(Source!BA126&lt;&gt;0,Source!BA126,1)*Source!I126),2)),0)</f>
        <v>1124.54</v>
      </c>
      <c r="P224">
        <f>IF(Source!BI126=2,(ROUND((Source!CR126/IF(Source!BB126&lt;&gt;0,Source!BB126,1)*Source!I126),2)+ROUND((Source!CQ126/IF(Source!BC126&lt;&gt;0,Source!BC126,1)*Source!I126),2)+ROUND((Source!CT126/IF(Source!BA126&lt;&gt;0,Source!BA126,1)*Source!I126),2)),0)</f>
        <v>0</v>
      </c>
      <c r="Q224">
        <f>IF(Source!BI126=3,(ROUND((Source!CR126/IF(Source!BB126&lt;&gt;0,Source!BB126,1)*Source!I126),2)+ROUND((Source!CQ126/IF(Source!BC126&lt;&gt;0,Source!BC126,1)*Source!I126),2)+ROUND((Source!CT126/IF(Source!BA126&lt;&gt;0,Source!BA126,1)*Source!I126),2)),0)</f>
        <v>0</v>
      </c>
      <c r="R224">
        <f>IF(Source!BI126=4,(ROUND((Source!CR126/IF(Source!BB126&lt;&gt;0,Source!BB126,1)*Source!I126),2)+ROUND((Source!CQ126/IF(Source!BC126&lt;&gt;0,Source!BC126,1)*Source!I126),2)+ROUND((Source!CT126/IF(Source!BA126&lt;&gt;0,Source!BA126,1)*Source!I126),2)),0)</f>
        <v>0</v>
      </c>
      <c r="S224">
        <f>IF(Source!BI126=1,Source!O126+Source!X126+Source!Y126,0)</f>
        <v>10402</v>
      </c>
      <c r="T224">
        <f>IF(Source!BI126=2,Source!O126+Source!X126+Source!Y126,0)</f>
        <v>0</v>
      </c>
      <c r="U224">
        <f>IF(Source!BI126=3,Source!O126+Source!X126+Source!Y126,0)</f>
        <v>0</v>
      </c>
      <c r="V224">
        <f>IF(Source!BI126=4,Source!O126+Source!X126+Source!Y126,0)</f>
        <v>0</v>
      </c>
      <c r="W224">
        <f>ROUND((Source!CS126/IF(Source!BS126&lt;&gt;0,Source!BS126,1)*Source!I126),2)</f>
        <v>0</v>
      </c>
      <c r="X224">
        <f>ROUND((Source!FX126/100)*(ROUND((Source!CT126/IF(Source!BA126&lt;&gt;0,Source!BA126,1)*Source!I126),2)+ROUND((Source!CS126/IF(Source!BS126&lt;&gt;0,Source!BS126,1)*Source!I126),2)),2)</f>
        <v>0</v>
      </c>
      <c r="Y224">
        <f>ROUND((Source!FY126/100)*(ROUND((Source!CT126/IF(Source!BA126&lt;&gt;0,Source!BA126,1)*Source!I126),2)+ROUND((Source!CS126/IF(Source!BS126&lt;&gt;0,Source!BS126,1)*Source!I126),2)),2)</f>
        <v>0</v>
      </c>
    </row>
    <row r="225" spans="1:23" ht="15.75">
      <c r="A225" s="14"/>
      <c r="B225" s="14"/>
      <c r="C225" s="14"/>
      <c r="D225" s="14"/>
      <c r="E225" s="14"/>
      <c r="F225" s="14"/>
      <c r="G225" s="14"/>
      <c r="H225" s="38">
        <f>ROUND((Source!CT123/IF(Source!BA123&lt;&gt;0,Source!BA123,1)*Source!I123),2)+ROUND((Source!CR123/IF(Source!BB123&lt;&gt;0,Source!BB123,1)*Source!I123),2)+H218+H219+H220+H222+H223+H224</f>
        <v>7301.05</v>
      </c>
      <c r="I225" s="39"/>
      <c r="J225" s="39"/>
      <c r="K225" s="38">
        <f>Source!S123+Source!Q123+K218+K219+K220+K222+K223+K224</f>
        <v>76909.25</v>
      </c>
      <c r="L225" s="38">
        <f>Source!U123</f>
        <v>142.7756</v>
      </c>
      <c r="M225" s="33">
        <f>H225</f>
        <v>7301.05</v>
      </c>
      <c r="N225">
        <f>ROUND((Source!CT123/IF(Source!BA123&lt;&gt;0,Source!BA123,1)*Source!I123),2)</f>
        <v>1133.66</v>
      </c>
      <c r="O225">
        <f>IF(Source!BI123=1,((((Source!CT123/IF(Source!BA123&lt;&gt;0,Source!BA123,1)*Source!I123)+(Source!CR123/IF(Source!BB123&lt;&gt;0,Source!BB123,1)*Source!I123)+(Source!CQ123/IF(Source!BC123&lt;&gt;0,Source!BC123,1)*Source!I123))+((Source!FX123/100)*((Source!CT123/IF(Source!BA123&lt;&gt;0,Source!BA123,1)*Source!I123)+(Source!CS123/IF(Source!BS123&lt;&gt;0,Source!BS123,1)*Source!I123)))+((Source!FY123/100)*((Source!CT123/IF(Source!BA123&lt;&gt;0,Source!BA123,1)*Source!I123)+(Source!CS123/IF(Source!BS123&lt;&gt;0,Source!BS123,1)*Source!I123))))),0)</f>
        <v>11544.817515000002</v>
      </c>
      <c r="P225">
        <f>IF(Source!BI123=2,((((Source!CT123/IF(Source!BA123&lt;&gt;0,Source!BA123,1)*Source!I123)+(Source!CR123/IF(Source!BB123&lt;&gt;0,Source!BB123,1)*Source!I123)+(Source!CQ123/IF(Source!BC123&lt;&gt;0,Source!BC123,1)*Source!I123))+((Source!FX123/100)*((Source!CT123/IF(Source!BA123&lt;&gt;0,Source!BA123,1)*Source!I123)+(Source!CS123/IF(Source!BS123&lt;&gt;0,Source!BS123,1)*Source!I123)))+((Source!FY123/100)*((Source!CT123/IF(Source!BA123&lt;&gt;0,Source!BA123,1)*Source!I123)+(Source!CS123/IF(Source!BS123&lt;&gt;0,Source!BS123,1)*Source!I123))))),0)</f>
        <v>0</v>
      </c>
      <c r="Q225">
        <f>IF(Source!BI123=3,((((Source!CT123/IF(Source!BA123&lt;&gt;0,Source!BA123,1)*Source!I123)+(Source!CR123/IF(Source!BB123&lt;&gt;0,Source!BB123,1)*Source!I123)+(Source!CQ123/IF(Source!BC123&lt;&gt;0,Source!BC123,1)*Source!I123))+((Source!FX123/100)*((Source!CT123/IF(Source!BA123&lt;&gt;0,Source!BA123,1)*Source!I123)+(Source!CS123/IF(Source!BS123&lt;&gt;0,Source!BS123,1)*Source!I123)))+((Source!FY123/100)*((Source!CT123/IF(Source!BA123&lt;&gt;0,Source!BA123,1)*Source!I123)+(Source!CS123/IF(Source!BS123&lt;&gt;0,Source!BS123,1)*Source!I123))))),0)</f>
        <v>0</v>
      </c>
      <c r="R225">
        <f>IF(Source!BI123=4,((((Source!CT123/IF(Source!BA123&lt;&gt;0,Source!BA123,1)*Source!I123)+(Source!CR123/IF(Source!BB123&lt;&gt;0,Source!BB123,1)*Source!I123)+(Source!CQ123/IF(Source!BC123&lt;&gt;0,Source!BC123,1)*Source!I123))+((Source!FX123/100)*((Source!CT123/IF(Source!BA123&lt;&gt;0,Source!BA123,1)*Source!I123)+(Source!CS123/IF(Source!BS123&lt;&gt;0,Source!BS123,1)*Source!I123)))+((Source!FY123/100)*((Source!CT123/IF(Source!BA123&lt;&gt;0,Source!BA123,1)*Source!I123)+(Source!CS123/IF(Source!BS123&lt;&gt;0,Source!BS123,1)*Source!I123))))),0)</f>
        <v>0</v>
      </c>
      <c r="S225">
        <f>IF(Source!BI123=1,Source!O123+Source!X123+Source!Y123,0)</f>
        <v>89752.12</v>
      </c>
      <c r="T225">
        <f>IF(Source!BI123=2,Source!O123+Source!X123+Source!Y123,0)</f>
        <v>0</v>
      </c>
      <c r="U225">
        <f>IF(Source!BI123=3,Source!O123+Source!X123+Source!Y123,0)</f>
        <v>0</v>
      </c>
      <c r="V225">
        <f>IF(Source!BI123=4,Source!O123+Source!X123+Source!Y123,0)</f>
        <v>0</v>
      </c>
      <c r="W225">
        <f>ROUND((Source!CS123/IF(Source!BS123&lt;&gt;0,Source!BS123,1)*Source!I123),2)</f>
        <v>3.87</v>
      </c>
    </row>
    <row r="226" spans="1:12" ht="30">
      <c r="A226" s="29" t="str">
        <f>Source!E127</f>
        <v>25</v>
      </c>
      <c r="B226" s="29" t="str">
        <f>Source!F127</f>
        <v>07-01-055-11</v>
      </c>
      <c r="C226" s="30" t="str">
        <f>Source!G127</f>
        <v>Прим. Установка металлических столбов</v>
      </c>
      <c r="D226" s="31" t="str">
        <f>Source!H127</f>
        <v>100 шт.</v>
      </c>
      <c r="E226" s="14">
        <f>ROUND(Source!I127,6)</f>
        <v>0.12</v>
      </c>
      <c r="F226" s="16">
        <f>IF(Source!AK127&lt;&gt;0,Source!AK127,Source!AL127+Source!AM127+Source!AO127)</f>
        <v>17168.37</v>
      </c>
      <c r="G226" s="14"/>
      <c r="H226" s="14"/>
      <c r="I226" s="32" t="str">
        <f>IF(Source!BO127&lt;&gt;"",Source!BO127,"")</f>
        <v>07-01-055-11</v>
      </c>
      <c r="J226" s="14"/>
      <c r="K226" s="14"/>
      <c r="L226" s="14"/>
    </row>
    <row r="227" spans="1:12" ht="15">
      <c r="A227" s="14"/>
      <c r="B227" s="14"/>
      <c r="C227" s="14" t="s">
        <v>429</v>
      </c>
      <c r="D227" s="14"/>
      <c r="E227" s="14"/>
      <c r="F227" s="16">
        <f>Source!AO127</f>
        <v>3952.45</v>
      </c>
      <c r="G227" s="32">
        <f>Source!DG127</f>
      </c>
      <c r="H227" s="16">
        <f>ROUND((Source!CT127/IF(Source!BA127&lt;&gt;0,Source!BA127,1)*Source!I127),2)</f>
        <v>474.29</v>
      </c>
      <c r="I227" s="14"/>
      <c r="J227" s="14">
        <f>Source!BA127</f>
        <v>17.84</v>
      </c>
      <c r="K227" s="16">
        <f>Source!S127</f>
        <v>8461.4</v>
      </c>
      <c r="L227" s="14"/>
    </row>
    <row r="228" spans="1:12" ht="15">
      <c r="A228" s="14"/>
      <c r="B228" s="14"/>
      <c r="C228" s="14" t="s">
        <v>107</v>
      </c>
      <c r="D228" s="14"/>
      <c r="E228" s="14"/>
      <c r="F228" s="16">
        <f>Source!AM127</f>
        <v>12098.19</v>
      </c>
      <c r="G228" s="32">
        <f>Source!DE127</f>
      </c>
      <c r="H228" s="16">
        <f>ROUND((Source!CR127/IF(Source!BB127&lt;&gt;0,Source!BB127,1)*Source!I127),2)</f>
        <v>1451.78</v>
      </c>
      <c r="I228" s="14"/>
      <c r="J228" s="14">
        <f>Source!BB127</f>
        <v>7.2</v>
      </c>
      <c r="K228" s="16">
        <f>Source!Q127</f>
        <v>10452.84</v>
      </c>
      <c r="L228" s="14"/>
    </row>
    <row r="229" spans="1:12" ht="15">
      <c r="A229" s="14"/>
      <c r="B229" s="14"/>
      <c r="C229" s="14" t="s">
        <v>434</v>
      </c>
      <c r="D229" s="14"/>
      <c r="E229" s="14"/>
      <c r="F229" s="16">
        <f>Source!AN127</f>
        <v>1380.16</v>
      </c>
      <c r="G229" s="32">
        <f>Source!DF127</f>
      </c>
      <c r="H229" s="40">
        <f>ROUND((Source!CS127/IF(Source!BS127&lt;&gt;0,Source!BS127,1)*Source!I127),2)</f>
        <v>165.62</v>
      </c>
      <c r="I229" s="14"/>
      <c r="J229" s="14">
        <f>Source!BS127</f>
        <v>17.84</v>
      </c>
      <c r="K229" s="40">
        <f>Source!R127</f>
        <v>2954.65</v>
      </c>
      <c r="L229" s="14"/>
    </row>
    <row r="230" spans="1:12" ht="15">
      <c r="A230" s="14"/>
      <c r="B230" s="14"/>
      <c r="C230" s="14" t="s">
        <v>435</v>
      </c>
      <c r="D230" s="14"/>
      <c r="E230" s="14"/>
      <c r="F230" s="16">
        <f>Source!AL127</f>
        <v>1117.73</v>
      </c>
      <c r="G230" s="32">
        <f>Source!DD127</f>
      </c>
      <c r="H230" s="16">
        <f>ROUND((Source!CQ127/IF(Source!BC127&lt;&gt;0,Source!BC127,1)*Source!I127),2)</f>
        <v>134.13</v>
      </c>
      <c r="I230" s="14"/>
      <c r="J230" s="14">
        <f>Source!BC127</f>
        <v>8.98</v>
      </c>
      <c r="K230" s="16">
        <f>Source!P127</f>
        <v>1204.47</v>
      </c>
      <c r="L230" s="14"/>
    </row>
    <row r="231" spans="1:24" ht="15">
      <c r="A231" s="14"/>
      <c r="B231" s="14"/>
      <c r="C231" s="14" t="s">
        <v>430</v>
      </c>
      <c r="D231" s="17" t="s">
        <v>431</v>
      </c>
      <c r="E231" s="14"/>
      <c r="F231" s="16">
        <f>Source!BZ127</f>
        <v>130</v>
      </c>
      <c r="G231" s="14"/>
      <c r="H231" s="16">
        <f>X231+X234</f>
        <v>831.88</v>
      </c>
      <c r="I231" s="14" t="str">
        <f>Source!FV127</f>
        <v>((*0.85))</v>
      </c>
      <c r="J231" s="16">
        <f>Source!AT127</f>
        <v>111</v>
      </c>
      <c r="K231" s="16">
        <f>Source!X127+Source!X128</f>
        <v>12671.82</v>
      </c>
      <c r="L231" s="14"/>
      <c r="X231">
        <f>ROUND((Source!FX127/100)*(ROUND((Source!CT127/IF(Source!BA127&lt;&gt;0,Source!BA127,1)*Source!I127),2)+ROUND((Source!CS127/IF(Source!BS127&lt;&gt;0,Source!BS127,1)*Source!I127),2)),2)</f>
        <v>831.88</v>
      </c>
    </row>
    <row r="232" spans="1:25" ht="15">
      <c r="A232" s="14"/>
      <c r="B232" s="14"/>
      <c r="C232" s="14" t="s">
        <v>123</v>
      </c>
      <c r="D232" s="17" t="s">
        <v>431</v>
      </c>
      <c r="E232" s="14"/>
      <c r="F232" s="16">
        <f>Source!CA127</f>
        <v>85</v>
      </c>
      <c r="G232" s="14"/>
      <c r="H232" s="16">
        <f>Y232+Y234</f>
        <v>543.92</v>
      </c>
      <c r="I232" s="14" t="str">
        <f>Source!FW127</f>
        <v>((*0.8))</v>
      </c>
      <c r="J232" s="16">
        <f>Source!AU127</f>
        <v>68</v>
      </c>
      <c r="K232" s="16">
        <f>Source!Y127+Source!Y128</f>
        <v>7762.91</v>
      </c>
      <c r="L232" s="14"/>
      <c r="Y232">
        <f>ROUND((Source!FY127/100)*(ROUND((Source!CT127/IF(Source!BA127&lt;&gt;0,Source!BA127,1)*Source!I127),2)+ROUND((Source!CS127/IF(Source!BS127&lt;&gt;0,Source!BS127,1)*Source!I127),2)),2)</f>
        <v>543.92</v>
      </c>
    </row>
    <row r="233" spans="1:12" ht="15">
      <c r="A233" s="14"/>
      <c r="B233" s="14"/>
      <c r="C233" s="14" t="s">
        <v>432</v>
      </c>
      <c r="D233" s="17" t="s">
        <v>433</v>
      </c>
      <c r="E233" s="14">
        <f>Source!AQ127</f>
        <v>430.55</v>
      </c>
      <c r="F233" s="14"/>
      <c r="G233" s="32">
        <f>Source!DI127</f>
      </c>
      <c r="H233" s="14"/>
      <c r="I233" s="14"/>
      <c r="J233" s="14"/>
      <c r="K233" s="14"/>
      <c r="L233" s="16">
        <f>Source!U127</f>
        <v>51.666</v>
      </c>
    </row>
    <row r="234" spans="1:25" ht="105">
      <c r="A234" s="42" t="str">
        <f>Source!E128</f>
        <v>25,1</v>
      </c>
      <c r="B234" s="42" t="str">
        <f>Source!F128</f>
        <v>103-0160</v>
      </c>
      <c r="C234" s="43" t="str">
        <f>Source!G128</f>
        <v>Трубы стальные электросварные прямошовные со снятой фаской из стали марок БСт2кп-БСт4кп и БСт2пс-БСт4пс наружный диаметр 108 мм, толщина стенки 3,5 мм</v>
      </c>
      <c r="D234" s="44" t="str">
        <f>Source!H128</f>
        <v>м</v>
      </c>
      <c r="E234" s="34">
        <f>ROUND(Source!I128,6)</f>
        <v>18</v>
      </c>
      <c r="F234" s="37">
        <f>IF(Source!AL128=0,Source!AK128,Source!AL128)</f>
        <v>67.66</v>
      </c>
      <c r="G234" s="36">
        <f>Source!DD128</f>
      </c>
      <c r="H234" s="45">
        <f>ROUND((Source!CR128/IF(Source!BB128&lt;&gt;0,Source!BB128,1)*Source!I128),2)+ROUND((Source!CQ128/IF(Source!BC128&lt;&gt;0,Source!BC128,1)*Source!I128),2)+ROUND((Source!CT128/IF(Source!BA128&lt;&gt;0,Source!BA128,1)*Source!I128),2)</f>
        <v>1217.88</v>
      </c>
      <c r="I234" s="36" t="str">
        <f>IF(Source!BO128&lt;&gt;"",Source!BO128,"")</f>
        <v>103-0160</v>
      </c>
      <c r="J234" s="34">
        <f>Source!BC128</f>
        <v>3.45</v>
      </c>
      <c r="K234" s="37">
        <f>Source!O128</f>
        <v>4201.69</v>
      </c>
      <c r="L234" s="34"/>
      <c r="N234">
        <f>ROUND((Source!CT128/IF(Source!BA128&lt;&gt;0,Source!BA128,1)*Source!I128),2)</f>
        <v>0</v>
      </c>
      <c r="O234">
        <f>IF(Source!BI128=1,(ROUND((Source!CR128/IF(Source!BB128&lt;&gt;0,Source!BB128,1)*Source!I128),2)+ROUND((Source!CQ128/IF(Source!BC128&lt;&gt;0,Source!BC128,1)*Source!I128),2)+ROUND((Source!CT128/IF(Source!BA128&lt;&gt;0,Source!BA128,1)*Source!I128),2)),0)</f>
        <v>1217.88</v>
      </c>
      <c r="P234">
        <f>IF(Source!BI128=2,(ROUND((Source!CR128/IF(Source!BB128&lt;&gt;0,Source!BB128,1)*Source!I128),2)+ROUND((Source!CQ128/IF(Source!BC128&lt;&gt;0,Source!BC128,1)*Source!I128),2)+ROUND((Source!CT128/IF(Source!BA128&lt;&gt;0,Source!BA128,1)*Source!I128),2)),0)</f>
        <v>0</v>
      </c>
      <c r="Q234">
        <f>IF(Source!BI128=3,(ROUND((Source!CR128/IF(Source!BB128&lt;&gt;0,Source!BB128,1)*Source!I128),2)+ROUND((Source!CQ128/IF(Source!BC128&lt;&gt;0,Source!BC128,1)*Source!I128),2)+ROUND((Source!CT128/IF(Source!BA128&lt;&gt;0,Source!BA128,1)*Source!I128),2)),0)</f>
        <v>0</v>
      </c>
      <c r="R234">
        <f>IF(Source!BI128=4,(ROUND((Source!CR128/IF(Source!BB128&lt;&gt;0,Source!BB128,1)*Source!I128),2)+ROUND((Source!CQ128/IF(Source!BC128&lt;&gt;0,Source!BC128,1)*Source!I128),2)+ROUND((Source!CT128/IF(Source!BA128&lt;&gt;0,Source!BA128,1)*Source!I128),2)),0)</f>
        <v>0</v>
      </c>
      <c r="S234">
        <f>IF(Source!BI128=1,Source!O128+Source!X128+Source!Y128,0)</f>
        <v>4201.69</v>
      </c>
      <c r="T234">
        <f>IF(Source!BI128=2,Source!O128+Source!X128+Source!Y128,0)</f>
        <v>0</v>
      </c>
      <c r="U234">
        <f>IF(Source!BI128=3,Source!O128+Source!X128+Source!Y128,0)</f>
        <v>0</v>
      </c>
      <c r="V234">
        <f>IF(Source!BI128=4,Source!O128+Source!X128+Source!Y128,0)</f>
        <v>0</v>
      </c>
      <c r="W234">
        <f>ROUND((Source!CS128/IF(Source!BS128&lt;&gt;0,Source!BS128,1)*Source!I128),2)</f>
        <v>0</v>
      </c>
      <c r="X234">
        <f>ROUND((Source!FX128/100)*(ROUND((Source!CT128/IF(Source!BA128&lt;&gt;0,Source!BA128,1)*Source!I128),2)+ROUND((Source!CS128/IF(Source!BS128&lt;&gt;0,Source!BS128,1)*Source!I128),2)),2)</f>
        <v>0</v>
      </c>
      <c r="Y234">
        <f>ROUND((Source!FY128/100)*(ROUND((Source!CT128/IF(Source!BA128&lt;&gt;0,Source!BA128,1)*Source!I128),2)+ROUND((Source!CS128/IF(Source!BS128&lt;&gt;0,Source!BS128,1)*Source!I128),2)),2)</f>
        <v>0</v>
      </c>
    </row>
    <row r="235" spans="1:23" ht="15.75">
      <c r="A235" s="14"/>
      <c r="B235" s="14"/>
      <c r="C235" s="14"/>
      <c r="D235" s="14"/>
      <c r="E235" s="14"/>
      <c r="F235" s="14"/>
      <c r="G235" s="14"/>
      <c r="H235" s="38">
        <f>ROUND((Source!CT127/IF(Source!BA127&lt;&gt;0,Source!BA127,1)*Source!I127),2)+ROUND((Source!CR127/IF(Source!BB127&lt;&gt;0,Source!BB127,1)*Source!I127),2)+H230+H231+H232+H234</f>
        <v>4653.88</v>
      </c>
      <c r="I235" s="39"/>
      <c r="J235" s="39"/>
      <c r="K235" s="38">
        <f>Source!S127+Source!Q127+K230+K231+K232+K234</f>
        <v>44755.130000000005</v>
      </c>
      <c r="L235" s="38">
        <f>Source!U127</f>
        <v>51.666</v>
      </c>
      <c r="M235" s="33">
        <f>H235</f>
        <v>4653.88</v>
      </c>
      <c r="N235">
        <f>ROUND((Source!CT127/IF(Source!BA127&lt;&gt;0,Source!BA127,1)*Source!I127),2)</f>
        <v>474.29</v>
      </c>
      <c r="O235">
        <f>IF(Source!BI127=1,((((Source!CT127/IF(Source!BA127&lt;&gt;0,Source!BA127,1)*Source!I127)+(Source!CR127/IF(Source!BB127&lt;&gt;0,Source!BB127,1)*Source!I127)+(Source!CQ127/IF(Source!BC127&lt;&gt;0,Source!BC127,1)*Source!I127))+((Source!FX127/100)*((Source!CT127/IF(Source!BA127&lt;&gt;0,Source!BA127,1)*Source!I127)+(Source!CS127/IF(Source!BS127&lt;&gt;0,Source!BS127,1)*Source!I127)))+((Source!FY127/100)*((Source!CT127/IF(Source!BA127&lt;&gt;0,Source!BA127,1)*Source!I127)+(Source!CS127/IF(Source!BS127&lt;&gt;0,Source!BS127,1)*Source!I127))))),0)</f>
        <v>3436.0177799999997</v>
      </c>
      <c r="P235">
        <f>IF(Source!BI127=2,((((Source!CT127/IF(Source!BA127&lt;&gt;0,Source!BA127,1)*Source!I127)+(Source!CR127/IF(Source!BB127&lt;&gt;0,Source!BB127,1)*Source!I127)+(Source!CQ127/IF(Source!BC127&lt;&gt;0,Source!BC127,1)*Source!I127))+((Source!FX127/100)*((Source!CT127/IF(Source!BA127&lt;&gt;0,Source!BA127,1)*Source!I127)+(Source!CS127/IF(Source!BS127&lt;&gt;0,Source!BS127,1)*Source!I127)))+((Source!FY127/100)*((Source!CT127/IF(Source!BA127&lt;&gt;0,Source!BA127,1)*Source!I127)+(Source!CS127/IF(Source!BS127&lt;&gt;0,Source!BS127,1)*Source!I127))))),0)</f>
        <v>0</v>
      </c>
      <c r="Q235">
        <f>IF(Source!BI127=3,((((Source!CT127/IF(Source!BA127&lt;&gt;0,Source!BA127,1)*Source!I127)+(Source!CR127/IF(Source!BB127&lt;&gt;0,Source!BB127,1)*Source!I127)+(Source!CQ127/IF(Source!BC127&lt;&gt;0,Source!BC127,1)*Source!I127))+((Source!FX127/100)*((Source!CT127/IF(Source!BA127&lt;&gt;0,Source!BA127,1)*Source!I127)+(Source!CS127/IF(Source!BS127&lt;&gt;0,Source!BS127,1)*Source!I127)))+((Source!FY127/100)*((Source!CT127/IF(Source!BA127&lt;&gt;0,Source!BA127,1)*Source!I127)+(Source!CS127/IF(Source!BS127&lt;&gt;0,Source!BS127,1)*Source!I127))))),0)</f>
        <v>0</v>
      </c>
      <c r="R235">
        <f>IF(Source!BI127=4,((((Source!CT127/IF(Source!BA127&lt;&gt;0,Source!BA127,1)*Source!I127)+(Source!CR127/IF(Source!BB127&lt;&gt;0,Source!BB127,1)*Source!I127)+(Source!CQ127/IF(Source!BC127&lt;&gt;0,Source!BC127,1)*Source!I127))+((Source!FX127/100)*((Source!CT127/IF(Source!BA127&lt;&gt;0,Source!BA127,1)*Source!I127)+(Source!CS127/IF(Source!BS127&lt;&gt;0,Source!BS127,1)*Source!I127)))+((Source!FY127/100)*((Source!CT127/IF(Source!BA127&lt;&gt;0,Source!BA127,1)*Source!I127)+(Source!CS127/IF(Source!BS127&lt;&gt;0,Source!BS127,1)*Source!I127))))),0)</f>
        <v>0</v>
      </c>
      <c r="S235">
        <f>IF(Source!BI127=1,Source!O127+Source!X127+Source!Y127,0)</f>
        <v>40553.44</v>
      </c>
      <c r="T235">
        <f>IF(Source!BI127=2,Source!O127+Source!X127+Source!Y127,0)</f>
        <v>0</v>
      </c>
      <c r="U235">
        <f>IF(Source!BI127=3,Source!O127+Source!X127+Source!Y127,0)</f>
        <v>0</v>
      </c>
      <c r="V235">
        <f>IF(Source!BI127=4,Source!O127+Source!X127+Source!Y127,0)</f>
        <v>0</v>
      </c>
      <c r="W235">
        <f>ROUND((Source!CS127/IF(Source!BS127&lt;&gt;0,Source!BS127,1)*Source!I127),2)</f>
        <v>165.62</v>
      </c>
    </row>
    <row r="236" spans="1:12" ht="30">
      <c r="A236" s="29" t="str">
        <f>Source!E129</f>
        <v>26</v>
      </c>
      <c r="B236" s="29" t="str">
        <f>Source!F129</f>
        <v>09-03-014-1</v>
      </c>
      <c r="C236" s="30" t="str">
        <f>Source!G129</f>
        <v>Монтаж связей из трубы</v>
      </c>
      <c r="D236" s="31" t="str">
        <f>Source!H129</f>
        <v>т</v>
      </c>
      <c r="E236" s="14">
        <f>ROUND(Source!I129,6)</f>
        <v>0.164</v>
      </c>
      <c r="F236" s="16">
        <f>IF(Source!AK129&lt;&gt;0,Source!AK129,Source!AL129+Source!AM129+Source!AO129)</f>
        <v>1262.73</v>
      </c>
      <c r="G236" s="14"/>
      <c r="H236" s="14"/>
      <c r="I236" s="32" t="str">
        <f>IF(Source!BO129&lt;&gt;"",Source!BO129,"")</f>
        <v>09-03-014-1</v>
      </c>
      <c r="J236" s="14"/>
      <c r="K236" s="14"/>
      <c r="L236" s="14"/>
    </row>
    <row r="237" spans="1:12" ht="15">
      <c r="A237" s="14"/>
      <c r="B237" s="14"/>
      <c r="C237" s="14" t="s">
        <v>429</v>
      </c>
      <c r="D237" s="14"/>
      <c r="E237" s="14"/>
      <c r="F237" s="16">
        <f>Source!AO129</f>
        <v>553.07</v>
      </c>
      <c r="G237" s="32">
        <f>Source!DG129</f>
      </c>
      <c r="H237" s="16">
        <f>ROUND((Source!CT129/IF(Source!BA129&lt;&gt;0,Source!BA129,1)*Source!I129),2)</f>
        <v>90.7</v>
      </c>
      <c r="I237" s="14"/>
      <c r="J237" s="14">
        <f>Source!BA129</f>
        <v>17.84</v>
      </c>
      <c r="K237" s="16">
        <f>Source!S129</f>
        <v>1618.15</v>
      </c>
      <c r="L237" s="14"/>
    </row>
    <row r="238" spans="1:12" ht="15">
      <c r="A238" s="14"/>
      <c r="B238" s="14"/>
      <c r="C238" s="14" t="s">
        <v>107</v>
      </c>
      <c r="D238" s="14"/>
      <c r="E238" s="14"/>
      <c r="F238" s="16">
        <f>Source!AM129</f>
        <v>477.15</v>
      </c>
      <c r="G238" s="32">
        <f>Source!DE129</f>
      </c>
      <c r="H238" s="16">
        <f>ROUND((Source!CR129/IF(Source!BB129&lt;&gt;0,Source!BB129,1)*Source!I129),2)</f>
        <v>78.25</v>
      </c>
      <c r="I238" s="14"/>
      <c r="J238" s="14">
        <f>Source!BB129</f>
        <v>7.33</v>
      </c>
      <c r="K238" s="16">
        <f>Source!Q129</f>
        <v>573.59</v>
      </c>
      <c r="L238" s="14"/>
    </row>
    <row r="239" spans="1:12" ht="15">
      <c r="A239" s="14"/>
      <c r="B239" s="14"/>
      <c r="C239" s="14" t="s">
        <v>434</v>
      </c>
      <c r="D239" s="14"/>
      <c r="E239" s="14"/>
      <c r="F239" s="16">
        <f>Source!AN129</f>
        <v>51.76</v>
      </c>
      <c r="G239" s="32">
        <f>Source!DF129</f>
      </c>
      <c r="H239" s="40">
        <f>ROUND((Source!CS129/IF(Source!BS129&lt;&gt;0,Source!BS129,1)*Source!I129),2)</f>
        <v>8.49</v>
      </c>
      <c r="I239" s="14"/>
      <c r="J239" s="14">
        <f>Source!BS129</f>
        <v>17.84</v>
      </c>
      <c r="K239" s="40">
        <f>Source!R129</f>
        <v>151.44</v>
      </c>
      <c r="L239" s="14"/>
    </row>
    <row r="240" spans="1:12" ht="15">
      <c r="A240" s="14"/>
      <c r="B240" s="14"/>
      <c r="C240" s="14" t="s">
        <v>435</v>
      </c>
      <c r="D240" s="14"/>
      <c r="E240" s="14"/>
      <c r="F240" s="16">
        <f>Source!AL129</f>
        <v>232.51</v>
      </c>
      <c r="G240" s="32">
        <f>Source!DD129</f>
      </c>
      <c r="H240" s="16">
        <f>ROUND((Source!CQ129/IF(Source!BC129&lt;&gt;0,Source!BC129,1)*Source!I129),2)</f>
        <v>38.13</v>
      </c>
      <c r="I240" s="14"/>
      <c r="J240" s="14">
        <f>Source!BC129</f>
        <v>6.14</v>
      </c>
      <c r="K240" s="16">
        <f>Source!P129</f>
        <v>234.13</v>
      </c>
      <c r="L240" s="14"/>
    </row>
    <row r="241" spans="1:24" ht="15">
      <c r="A241" s="14"/>
      <c r="B241" s="14"/>
      <c r="C241" s="14" t="s">
        <v>430</v>
      </c>
      <c r="D241" s="17" t="s">
        <v>431</v>
      </c>
      <c r="E241" s="14"/>
      <c r="F241" s="16">
        <f>Source!BZ129</f>
        <v>90</v>
      </c>
      <c r="G241" s="14"/>
      <c r="H241" s="16">
        <f>X241+X244</f>
        <v>89.27</v>
      </c>
      <c r="I241" s="14" t="str">
        <f>Source!FV129</f>
        <v>((*0.85))</v>
      </c>
      <c r="J241" s="16">
        <f>Source!AT129</f>
        <v>77</v>
      </c>
      <c r="K241" s="16">
        <f>Source!X129+Source!X130</f>
        <v>1362.58</v>
      </c>
      <c r="L241" s="14"/>
      <c r="X241">
        <f>ROUND((Source!FX129/100)*(ROUND((Source!CT129/IF(Source!BA129&lt;&gt;0,Source!BA129,1)*Source!I129),2)+ROUND((Source!CS129/IF(Source!BS129&lt;&gt;0,Source!BS129,1)*Source!I129),2)),2)</f>
        <v>89.27</v>
      </c>
    </row>
    <row r="242" spans="1:25" ht="15">
      <c r="A242" s="14"/>
      <c r="B242" s="14"/>
      <c r="C242" s="14" t="s">
        <v>123</v>
      </c>
      <c r="D242" s="17" t="s">
        <v>431</v>
      </c>
      <c r="E242" s="14"/>
      <c r="F242" s="16">
        <f>Source!CA129</f>
        <v>85</v>
      </c>
      <c r="G242" s="14"/>
      <c r="H242" s="16">
        <f>Y242+Y244</f>
        <v>84.31</v>
      </c>
      <c r="I242" s="14" t="str">
        <f>Source!FW129</f>
        <v>((*0.8))</v>
      </c>
      <c r="J242" s="16">
        <f>Source!AU129</f>
        <v>68</v>
      </c>
      <c r="K242" s="16">
        <f>Source!Y129+Source!Y130</f>
        <v>1203.32</v>
      </c>
      <c r="L242" s="14"/>
      <c r="Y242">
        <f>ROUND((Source!FY129/100)*(ROUND((Source!CT129/IF(Source!BA129&lt;&gt;0,Source!BA129,1)*Source!I129),2)+ROUND((Source!CS129/IF(Source!BS129&lt;&gt;0,Source!BS129,1)*Source!I129),2)),2)</f>
        <v>84.31</v>
      </c>
    </row>
    <row r="243" spans="1:12" ht="15">
      <c r="A243" s="14"/>
      <c r="B243" s="14"/>
      <c r="C243" s="14" t="s">
        <v>432</v>
      </c>
      <c r="D243" s="17" t="s">
        <v>433</v>
      </c>
      <c r="E243" s="14">
        <f>Source!AQ129</f>
        <v>63.28</v>
      </c>
      <c r="F243" s="14"/>
      <c r="G243" s="32">
        <f>Source!DI129</f>
      </c>
      <c r="H243" s="14"/>
      <c r="I243" s="14"/>
      <c r="J243" s="14"/>
      <c r="K243" s="14"/>
      <c r="L243" s="16">
        <f>Source!U129</f>
        <v>10.377920000000001</v>
      </c>
    </row>
    <row r="244" spans="1:25" ht="105">
      <c r="A244" s="42" t="str">
        <f>Source!E130</f>
        <v>26,1</v>
      </c>
      <c r="B244" s="42" t="str">
        <f>Source!F130</f>
        <v>103-0160</v>
      </c>
      <c r="C244" s="43" t="str">
        <f>Source!G130</f>
        <v>Трубы стальные электросварные прямошовные со снятой фаской из стали марок БСт2кп-БСт4кп и БСт2пс-БСт4пс наружный диаметр 108 мм, толщина стенки 3,5 мм</v>
      </c>
      <c r="D244" s="44" t="str">
        <f>Source!H130</f>
        <v>м</v>
      </c>
      <c r="E244" s="34">
        <f>ROUND(Source!I130,6)</f>
        <v>16</v>
      </c>
      <c r="F244" s="37">
        <f>IF(Source!AL130=0,Source!AK130,Source!AL130)</f>
        <v>67.66</v>
      </c>
      <c r="G244" s="36">
        <f>Source!DD130</f>
      </c>
      <c r="H244" s="45">
        <f>ROUND((Source!CR130/IF(Source!BB130&lt;&gt;0,Source!BB130,1)*Source!I130),2)+ROUND((Source!CQ130/IF(Source!BC130&lt;&gt;0,Source!BC130,1)*Source!I130),2)+ROUND((Source!CT130/IF(Source!BA130&lt;&gt;0,Source!BA130,1)*Source!I130),2)</f>
        <v>1082.56</v>
      </c>
      <c r="I244" s="36" t="str">
        <f>IF(Source!BO130&lt;&gt;"",Source!BO130,"")</f>
        <v>103-0160</v>
      </c>
      <c r="J244" s="34">
        <f>Source!BC130</f>
        <v>3.45</v>
      </c>
      <c r="K244" s="37">
        <f>Source!O130</f>
        <v>3734.83</v>
      </c>
      <c r="L244" s="34"/>
      <c r="N244">
        <f>ROUND((Source!CT130/IF(Source!BA130&lt;&gt;0,Source!BA130,1)*Source!I130),2)</f>
        <v>0</v>
      </c>
      <c r="O244">
        <f>IF(Source!BI130=1,(ROUND((Source!CR130/IF(Source!BB130&lt;&gt;0,Source!BB130,1)*Source!I130),2)+ROUND((Source!CQ130/IF(Source!BC130&lt;&gt;0,Source!BC130,1)*Source!I130),2)+ROUND((Source!CT130/IF(Source!BA130&lt;&gt;0,Source!BA130,1)*Source!I130),2)),0)</f>
        <v>1082.56</v>
      </c>
      <c r="P244">
        <f>IF(Source!BI130=2,(ROUND((Source!CR130/IF(Source!BB130&lt;&gt;0,Source!BB130,1)*Source!I130),2)+ROUND((Source!CQ130/IF(Source!BC130&lt;&gt;0,Source!BC130,1)*Source!I130),2)+ROUND((Source!CT130/IF(Source!BA130&lt;&gt;0,Source!BA130,1)*Source!I130),2)),0)</f>
        <v>0</v>
      </c>
      <c r="Q244">
        <f>IF(Source!BI130=3,(ROUND((Source!CR130/IF(Source!BB130&lt;&gt;0,Source!BB130,1)*Source!I130),2)+ROUND((Source!CQ130/IF(Source!BC130&lt;&gt;0,Source!BC130,1)*Source!I130),2)+ROUND((Source!CT130/IF(Source!BA130&lt;&gt;0,Source!BA130,1)*Source!I130),2)),0)</f>
        <v>0</v>
      </c>
      <c r="R244">
        <f>IF(Source!BI130=4,(ROUND((Source!CR130/IF(Source!BB130&lt;&gt;0,Source!BB130,1)*Source!I130),2)+ROUND((Source!CQ130/IF(Source!BC130&lt;&gt;0,Source!BC130,1)*Source!I130),2)+ROUND((Source!CT130/IF(Source!BA130&lt;&gt;0,Source!BA130,1)*Source!I130),2)),0)</f>
        <v>0</v>
      </c>
      <c r="S244">
        <f>IF(Source!BI130=1,Source!O130+Source!X130+Source!Y130,0)</f>
        <v>3734.83</v>
      </c>
      <c r="T244">
        <f>IF(Source!BI130=2,Source!O130+Source!X130+Source!Y130,0)</f>
        <v>0</v>
      </c>
      <c r="U244">
        <f>IF(Source!BI130=3,Source!O130+Source!X130+Source!Y130,0)</f>
        <v>0</v>
      </c>
      <c r="V244">
        <f>IF(Source!BI130=4,Source!O130+Source!X130+Source!Y130,0)</f>
        <v>0</v>
      </c>
      <c r="W244">
        <f>ROUND((Source!CS130/IF(Source!BS130&lt;&gt;0,Source!BS130,1)*Source!I130),2)</f>
        <v>0</v>
      </c>
      <c r="X244">
        <f>ROUND((Source!FX130/100)*(ROUND((Source!CT130/IF(Source!BA130&lt;&gt;0,Source!BA130,1)*Source!I130),2)+ROUND((Source!CS130/IF(Source!BS130&lt;&gt;0,Source!BS130,1)*Source!I130),2)),2)</f>
        <v>0</v>
      </c>
      <c r="Y244">
        <f>ROUND((Source!FY130/100)*(ROUND((Source!CT130/IF(Source!BA130&lt;&gt;0,Source!BA130,1)*Source!I130),2)+ROUND((Source!CS130/IF(Source!BS130&lt;&gt;0,Source!BS130,1)*Source!I130),2)),2)</f>
        <v>0</v>
      </c>
    </row>
    <row r="245" spans="1:23" ht="15.75">
      <c r="A245" s="14"/>
      <c r="B245" s="14"/>
      <c r="C245" s="14"/>
      <c r="D245" s="14"/>
      <c r="E245" s="14"/>
      <c r="F245" s="14"/>
      <c r="G245" s="14"/>
      <c r="H245" s="38">
        <f>ROUND((Source!CT129/IF(Source!BA129&lt;&gt;0,Source!BA129,1)*Source!I129),2)+ROUND((Source!CR129/IF(Source!BB129&lt;&gt;0,Source!BB129,1)*Source!I129),2)+H240+H241+H242+H244</f>
        <v>1463.2199999999998</v>
      </c>
      <c r="I245" s="39"/>
      <c r="J245" s="39"/>
      <c r="K245" s="38">
        <f>Source!S129+Source!Q129+K240+K241+K242+K244</f>
        <v>8726.6</v>
      </c>
      <c r="L245" s="38">
        <f>Source!U129</f>
        <v>10.377920000000001</v>
      </c>
      <c r="M245" s="33">
        <f>H245</f>
        <v>1463.2199999999998</v>
      </c>
      <c r="N245">
        <f>ROUND((Source!CT129/IF(Source!BA129&lt;&gt;0,Source!BA129,1)*Source!I129),2)</f>
        <v>90.7</v>
      </c>
      <c r="O245">
        <f>IF(Source!BI129=1,((((Source!CT129/IF(Source!BA129&lt;&gt;0,Source!BA129,1)*Source!I129)+(Source!CR129/IF(Source!BB129&lt;&gt;0,Source!BB129,1)*Source!I129)+(Source!CQ129/IF(Source!BC129&lt;&gt;0,Source!BC129,1)*Source!I129))+((Source!FX129/100)*((Source!CT129/IF(Source!BA129&lt;&gt;0,Source!BA129,1)*Source!I129)+(Source!CS129/IF(Source!BS129&lt;&gt;0,Source!BS129,1)*Source!I129)))+((Source!FY129/100)*((Source!CT129/IF(Source!BA129&lt;&gt;0,Source!BA129,1)*Source!I129)+(Source!CS129/IF(Source!BS129&lt;&gt;0,Source!BS129,1)*Source!I129))))),0)</f>
        <v>380.67393000000004</v>
      </c>
      <c r="P245">
        <f>IF(Source!BI129=2,((((Source!CT129/IF(Source!BA129&lt;&gt;0,Source!BA129,1)*Source!I129)+(Source!CR129/IF(Source!BB129&lt;&gt;0,Source!BB129,1)*Source!I129)+(Source!CQ129/IF(Source!BC129&lt;&gt;0,Source!BC129,1)*Source!I129))+((Source!FX129/100)*((Source!CT129/IF(Source!BA129&lt;&gt;0,Source!BA129,1)*Source!I129)+(Source!CS129/IF(Source!BS129&lt;&gt;0,Source!BS129,1)*Source!I129)))+((Source!FY129/100)*((Source!CT129/IF(Source!BA129&lt;&gt;0,Source!BA129,1)*Source!I129)+(Source!CS129/IF(Source!BS129&lt;&gt;0,Source!BS129,1)*Source!I129))))),0)</f>
        <v>0</v>
      </c>
      <c r="Q245">
        <f>IF(Source!BI129=3,((((Source!CT129/IF(Source!BA129&lt;&gt;0,Source!BA129,1)*Source!I129)+(Source!CR129/IF(Source!BB129&lt;&gt;0,Source!BB129,1)*Source!I129)+(Source!CQ129/IF(Source!BC129&lt;&gt;0,Source!BC129,1)*Source!I129))+((Source!FX129/100)*((Source!CT129/IF(Source!BA129&lt;&gt;0,Source!BA129,1)*Source!I129)+(Source!CS129/IF(Source!BS129&lt;&gt;0,Source!BS129,1)*Source!I129)))+((Source!FY129/100)*((Source!CT129/IF(Source!BA129&lt;&gt;0,Source!BA129,1)*Source!I129)+(Source!CS129/IF(Source!BS129&lt;&gt;0,Source!BS129,1)*Source!I129))))),0)</f>
        <v>0</v>
      </c>
      <c r="R245">
        <f>IF(Source!BI129=4,((((Source!CT129/IF(Source!BA129&lt;&gt;0,Source!BA129,1)*Source!I129)+(Source!CR129/IF(Source!BB129&lt;&gt;0,Source!BB129,1)*Source!I129)+(Source!CQ129/IF(Source!BC129&lt;&gt;0,Source!BC129,1)*Source!I129))+((Source!FX129/100)*((Source!CT129/IF(Source!BA129&lt;&gt;0,Source!BA129,1)*Source!I129)+(Source!CS129/IF(Source!BS129&lt;&gt;0,Source!BS129,1)*Source!I129)))+((Source!FY129/100)*((Source!CT129/IF(Source!BA129&lt;&gt;0,Source!BA129,1)*Source!I129)+(Source!CS129/IF(Source!BS129&lt;&gt;0,Source!BS129,1)*Source!I129))))),0)</f>
        <v>0</v>
      </c>
      <c r="S245">
        <f>IF(Source!BI129=1,Source!O129+Source!X129+Source!Y129,0)</f>
        <v>4991.7699999999995</v>
      </c>
      <c r="T245">
        <f>IF(Source!BI129=2,Source!O129+Source!X129+Source!Y129,0)</f>
        <v>0</v>
      </c>
      <c r="U245">
        <f>IF(Source!BI129=3,Source!O129+Source!X129+Source!Y129,0)</f>
        <v>0</v>
      </c>
      <c r="V245">
        <f>IF(Source!BI129=4,Source!O129+Source!X129+Source!Y129,0)</f>
        <v>0</v>
      </c>
      <c r="W245">
        <f>ROUND((Source!CS129/IF(Source!BS129&lt;&gt;0,Source!BS129,1)*Source!I129),2)</f>
        <v>8.49</v>
      </c>
    </row>
    <row r="246" spans="1:12" ht="45">
      <c r="A246" s="29" t="str">
        <f>Source!E131</f>
        <v>27</v>
      </c>
      <c r="B246" s="29" t="str">
        <f>Source!F131</f>
        <v>13-03-002-4</v>
      </c>
      <c r="C246" s="30" t="str">
        <f>Source!G131</f>
        <v>Огрунтовка металлических поверхностей за один раз грунтовкой ГФ-021</v>
      </c>
      <c r="D246" s="31" t="str">
        <f>Source!H131</f>
        <v>100 м2</v>
      </c>
      <c r="E246" s="14">
        <f>ROUND(Source!I131,6)</f>
        <v>0.106</v>
      </c>
      <c r="F246" s="16">
        <f>IF(Source!AK131&lt;&gt;0,Source!AK131,Source!AL131+Source!AM131+Source!AO131)</f>
        <v>268.8</v>
      </c>
      <c r="G246" s="14"/>
      <c r="H246" s="14"/>
      <c r="I246" s="32" t="str">
        <f>IF(Source!BO131&lt;&gt;"",Source!BO131,"")</f>
        <v>13-03-002-4</v>
      </c>
      <c r="J246" s="14"/>
      <c r="K246" s="14"/>
      <c r="L246" s="14"/>
    </row>
    <row r="247" spans="1:12" ht="15">
      <c r="A247" s="14"/>
      <c r="B247" s="14"/>
      <c r="C247" s="14" t="s">
        <v>429</v>
      </c>
      <c r="D247" s="14"/>
      <c r="E247" s="14"/>
      <c r="F247" s="16">
        <f>Source!AO131</f>
        <v>56.55</v>
      </c>
      <c r="G247" s="32">
        <f>Source!DG131</f>
      </c>
      <c r="H247" s="16">
        <f>ROUND((Source!CT131/IF(Source!BA131&lt;&gt;0,Source!BA131,1)*Source!I131),2)</f>
        <v>5.99</v>
      </c>
      <c r="I247" s="14"/>
      <c r="J247" s="14">
        <f>Source!BA131</f>
        <v>17.84</v>
      </c>
      <c r="K247" s="16">
        <f>Source!S131</f>
        <v>106.94</v>
      </c>
      <c r="L247" s="14"/>
    </row>
    <row r="248" spans="1:12" ht="15">
      <c r="A248" s="14"/>
      <c r="B248" s="14"/>
      <c r="C248" s="14" t="s">
        <v>107</v>
      </c>
      <c r="D248" s="14"/>
      <c r="E248" s="14"/>
      <c r="F248" s="16">
        <f>Source!AM131</f>
        <v>9.53</v>
      </c>
      <c r="G248" s="32">
        <f>Source!DE131</f>
      </c>
      <c r="H248" s="16">
        <f>ROUND((Source!CR131/IF(Source!BB131&lt;&gt;0,Source!BB131,1)*Source!I131),2)</f>
        <v>1.01</v>
      </c>
      <c r="I248" s="14"/>
      <c r="J248" s="14">
        <f>Source!BB131</f>
        <v>4.83</v>
      </c>
      <c r="K248" s="16">
        <f>Source!Q131</f>
        <v>4.88</v>
      </c>
      <c r="L248" s="14"/>
    </row>
    <row r="249" spans="1:12" ht="15">
      <c r="A249" s="14"/>
      <c r="B249" s="14"/>
      <c r="C249" s="14" t="s">
        <v>434</v>
      </c>
      <c r="D249" s="14"/>
      <c r="E249" s="14"/>
      <c r="F249" s="16">
        <f>Source!AN131</f>
        <v>0.1</v>
      </c>
      <c r="G249" s="32">
        <f>Source!DF131</f>
      </c>
      <c r="H249" s="40">
        <f>ROUND((Source!CS131/IF(Source!BS131&lt;&gt;0,Source!BS131,1)*Source!I131),2)</f>
        <v>0.01</v>
      </c>
      <c r="I249" s="14"/>
      <c r="J249" s="14">
        <f>Source!BS131</f>
        <v>17.84</v>
      </c>
      <c r="K249" s="40">
        <f>Source!R131</f>
        <v>0.19</v>
      </c>
      <c r="L249" s="14"/>
    </row>
    <row r="250" spans="1:12" ht="15">
      <c r="A250" s="14"/>
      <c r="B250" s="14"/>
      <c r="C250" s="14" t="s">
        <v>435</v>
      </c>
      <c r="D250" s="14"/>
      <c r="E250" s="14"/>
      <c r="F250" s="16">
        <f>Source!AL131</f>
        <v>202.72</v>
      </c>
      <c r="G250" s="32">
        <f>Source!DD131</f>
      </c>
      <c r="H250" s="16">
        <f>ROUND((Source!CQ131/IF(Source!BC131&lt;&gt;0,Source!BC131,1)*Source!I131),2)</f>
        <v>21.49</v>
      </c>
      <c r="I250" s="14"/>
      <c r="J250" s="14">
        <f>Source!BC131</f>
        <v>2.74</v>
      </c>
      <c r="K250" s="16">
        <f>Source!P131</f>
        <v>58.88</v>
      </c>
      <c r="L250" s="14"/>
    </row>
    <row r="251" spans="1:24" ht="15">
      <c r="A251" s="14"/>
      <c r="B251" s="14"/>
      <c r="C251" s="14" t="s">
        <v>430</v>
      </c>
      <c r="D251" s="17" t="s">
        <v>431</v>
      </c>
      <c r="E251" s="14"/>
      <c r="F251" s="16">
        <f>Source!BZ131</f>
        <v>90</v>
      </c>
      <c r="G251" s="14"/>
      <c r="H251" s="16">
        <f>X251</f>
        <v>5.4</v>
      </c>
      <c r="I251" s="14" t="str">
        <f>Source!FV131</f>
        <v>((*0.85))</v>
      </c>
      <c r="J251" s="16">
        <f>Source!AT131</f>
        <v>77</v>
      </c>
      <c r="K251" s="16">
        <f>Source!X131</f>
        <v>82.49</v>
      </c>
      <c r="L251" s="14"/>
      <c r="X251">
        <f>ROUND((Source!FX131/100)*(ROUND((Source!CT131/IF(Source!BA131&lt;&gt;0,Source!BA131,1)*Source!I131),2)+ROUND((Source!CS131/IF(Source!BS131&lt;&gt;0,Source!BS131,1)*Source!I131),2)),2)</f>
        <v>5.4</v>
      </c>
    </row>
    <row r="252" spans="1:25" ht="15">
      <c r="A252" s="14"/>
      <c r="B252" s="14"/>
      <c r="C252" s="14" t="s">
        <v>123</v>
      </c>
      <c r="D252" s="17" t="s">
        <v>431</v>
      </c>
      <c r="E252" s="14"/>
      <c r="F252" s="16">
        <f>Source!CA131</f>
        <v>70</v>
      </c>
      <c r="G252" s="14"/>
      <c r="H252" s="16">
        <f>Y252</f>
        <v>4.2</v>
      </c>
      <c r="I252" s="14" t="str">
        <f>Source!FW131</f>
        <v>((*0.8))</v>
      </c>
      <c r="J252" s="16">
        <f>Source!AU131</f>
        <v>56</v>
      </c>
      <c r="K252" s="16">
        <f>Source!Y131</f>
        <v>59.99</v>
      </c>
      <c r="L252" s="14"/>
      <c r="Y252">
        <f>ROUND((Source!FY131/100)*(ROUND((Source!CT131/IF(Source!BA131&lt;&gt;0,Source!BA131,1)*Source!I131),2)+ROUND((Source!CS131/IF(Source!BS131&lt;&gt;0,Source!BS131,1)*Source!I131),2)),2)</f>
        <v>4.2</v>
      </c>
    </row>
    <row r="253" spans="1:12" ht="15">
      <c r="A253" s="34"/>
      <c r="B253" s="34"/>
      <c r="C253" s="34" t="s">
        <v>432</v>
      </c>
      <c r="D253" s="35" t="s">
        <v>433</v>
      </c>
      <c r="E253" s="34">
        <f>Source!AQ131</f>
        <v>5.31</v>
      </c>
      <c r="F253" s="34"/>
      <c r="G253" s="36">
        <f>Source!DI131</f>
      </c>
      <c r="H253" s="34"/>
      <c r="I253" s="34"/>
      <c r="J253" s="34"/>
      <c r="K253" s="34"/>
      <c r="L253" s="37">
        <f>Source!U131</f>
        <v>0.5628599999999999</v>
      </c>
    </row>
    <row r="254" spans="1:23" ht="15.75">
      <c r="A254" s="14"/>
      <c r="B254" s="14"/>
      <c r="C254" s="14"/>
      <c r="D254" s="14"/>
      <c r="E254" s="14"/>
      <c r="F254" s="14"/>
      <c r="G254" s="14"/>
      <c r="H254" s="38">
        <f>ROUND((Source!CT131/IF(Source!BA131&lt;&gt;0,Source!BA131,1)*Source!I131),2)+ROUND((Source!CR131/IF(Source!BB131&lt;&gt;0,Source!BB131,1)*Source!I131),2)+H250+H251+H252</f>
        <v>38.09</v>
      </c>
      <c r="I254" s="39"/>
      <c r="J254" s="39"/>
      <c r="K254" s="38">
        <f>Source!S131+Source!Q131+K250+K251+K252</f>
        <v>313.18</v>
      </c>
      <c r="L254" s="38">
        <f>Source!U131</f>
        <v>0.5628599999999999</v>
      </c>
      <c r="M254" s="33">
        <f>H254</f>
        <v>38.09</v>
      </c>
      <c r="N254">
        <f>ROUND((Source!CT131/IF(Source!BA131&lt;&gt;0,Source!BA131,1)*Source!I131),2)</f>
        <v>5.99</v>
      </c>
      <c r="O254">
        <f>IF(Source!BI131=1,((((Source!CT131/IF(Source!BA131&lt;&gt;0,Source!BA131,1)*Source!I131)+(Source!CR131/IF(Source!BB131&lt;&gt;0,Source!BB131,1)*Source!I131)+(Source!CQ131/IF(Source!BC131&lt;&gt;0,Source!BC131,1)*Source!I131))+((Source!FX131/100)*((Source!CT131/IF(Source!BA131&lt;&gt;0,Source!BA131,1)*Source!I131)+(Source!CS131/IF(Source!BS131&lt;&gt;0,Source!BS131,1)*Source!I131)))+((Source!FY131/100)*((Source!CT131/IF(Source!BA131&lt;&gt;0,Source!BA131,1)*Source!I131)+(Source!CS131/IF(Source!BS131&lt;&gt;0,Source!BS131,1)*Source!I131))))),0)</f>
        <v>38.10064</v>
      </c>
      <c r="P254">
        <f>IF(Source!BI131=2,((((Source!CT131/IF(Source!BA131&lt;&gt;0,Source!BA131,1)*Source!I131)+(Source!CR131/IF(Source!BB131&lt;&gt;0,Source!BB131,1)*Source!I131)+(Source!CQ131/IF(Source!BC131&lt;&gt;0,Source!BC131,1)*Source!I131))+((Source!FX131/100)*((Source!CT131/IF(Source!BA131&lt;&gt;0,Source!BA131,1)*Source!I131)+(Source!CS131/IF(Source!BS131&lt;&gt;0,Source!BS131,1)*Source!I131)))+((Source!FY131/100)*((Source!CT131/IF(Source!BA131&lt;&gt;0,Source!BA131,1)*Source!I131)+(Source!CS131/IF(Source!BS131&lt;&gt;0,Source!BS131,1)*Source!I131))))),0)</f>
        <v>0</v>
      </c>
      <c r="Q254">
        <f>IF(Source!BI131=3,((((Source!CT131/IF(Source!BA131&lt;&gt;0,Source!BA131,1)*Source!I131)+(Source!CR131/IF(Source!BB131&lt;&gt;0,Source!BB131,1)*Source!I131)+(Source!CQ131/IF(Source!BC131&lt;&gt;0,Source!BC131,1)*Source!I131))+((Source!FX131/100)*((Source!CT131/IF(Source!BA131&lt;&gt;0,Source!BA131,1)*Source!I131)+(Source!CS131/IF(Source!BS131&lt;&gt;0,Source!BS131,1)*Source!I131)))+((Source!FY131/100)*((Source!CT131/IF(Source!BA131&lt;&gt;0,Source!BA131,1)*Source!I131)+(Source!CS131/IF(Source!BS131&lt;&gt;0,Source!BS131,1)*Source!I131))))),0)</f>
        <v>0</v>
      </c>
      <c r="R254">
        <f>IF(Source!BI131=4,((((Source!CT131/IF(Source!BA131&lt;&gt;0,Source!BA131,1)*Source!I131)+(Source!CR131/IF(Source!BB131&lt;&gt;0,Source!BB131,1)*Source!I131)+(Source!CQ131/IF(Source!BC131&lt;&gt;0,Source!BC131,1)*Source!I131))+((Source!FX131/100)*((Source!CT131/IF(Source!BA131&lt;&gt;0,Source!BA131,1)*Source!I131)+(Source!CS131/IF(Source!BS131&lt;&gt;0,Source!BS131,1)*Source!I131)))+((Source!FY131/100)*((Source!CT131/IF(Source!BA131&lt;&gt;0,Source!BA131,1)*Source!I131)+(Source!CS131/IF(Source!BS131&lt;&gt;0,Source!BS131,1)*Source!I131))))),0)</f>
        <v>0</v>
      </c>
      <c r="S254">
        <f>IF(Source!BI131=1,Source!O131+Source!X131+Source!Y131,0)</f>
        <v>313.18</v>
      </c>
      <c r="T254">
        <f>IF(Source!BI131=2,Source!O131+Source!X131+Source!Y131,0)</f>
        <v>0</v>
      </c>
      <c r="U254">
        <f>IF(Source!BI131=3,Source!O131+Source!X131+Source!Y131,0)</f>
        <v>0</v>
      </c>
      <c r="V254">
        <f>IF(Source!BI131=4,Source!O131+Source!X131+Source!Y131,0)</f>
        <v>0</v>
      </c>
      <c r="W254">
        <f>ROUND((Source!CS131/IF(Source!BS131&lt;&gt;0,Source!BS131,1)*Source!I131),2)</f>
        <v>0.01</v>
      </c>
    </row>
    <row r="255" spans="1:12" ht="45">
      <c r="A255" s="29" t="str">
        <f>Source!E132</f>
        <v>28</v>
      </c>
      <c r="B255" s="29" t="str">
        <f>Source!F132</f>
        <v>13-03-004-26</v>
      </c>
      <c r="C255" s="30" t="str">
        <f>Source!G132</f>
        <v>Окраска металлических огрунтованных поверхностей эмалью ПФ-115</v>
      </c>
      <c r="D255" s="31" t="str">
        <f>Source!H132</f>
        <v>100 м2</v>
      </c>
      <c r="E255" s="14">
        <f>ROUND(Source!I132,6)</f>
        <v>0.106</v>
      </c>
      <c r="F255" s="16">
        <f>IF(Source!AK132&lt;&gt;0,Source!AK132,Source!AL132+Source!AM132+Source!AO132)</f>
        <v>335.12</v>
      </c>
      <c r="G255" s="14"/>
      <c r="H255" s="14"/>
      <c r="I255" s="32" t="str">
        <f>IF(Source!BO132&lt;&gt;"",Source!BO132,"")</f>
        <v>13-03-004-26</v>
      </c>
      <c r="J255" s="14"/>
      <c r="K255" s="14"/>
      <c r="L255" s="14"/>
    </row>
    <row r="256" spans="1:12" ht="15">
      <c r="A256" s="14"/>
      <c r="B256" s="14"/>
      <c r="C256" s="14" t="s">
        <v>429</v>
      </c>
      <c r="D256" s="14"/>
      <c r="E256" s="14"/>
      <c r="F256" s="16">
        <f>Source!AO132</f>
        <v>34.74</v>
      </c>
      <c r="G256" s="32">
        <f>Source!DG132</f>
      </c>
      <c r="H256" s="16">
        <f>ROUND((Source!CT132/IF(Source!BA132&lt;&gt;0,Source!BA132,1)*Source!I132),2)</f>
        <v>3.68</v>
      </c>
      <c r="I256" s="14"/>
      <c r="J256" s="14">
        <f>Source!BA132</f>
        <v>17.84</v>
      </c>
      <c r="K256" s="16">
        <f>Source!S132</f>
        <v>65.69</v>
      </c>
      <c r="L256" s="14"/>
    </row>
    <row r="257" spans="1:12" ht="15">
      <c r="A257" s="14"/>
      <c r="B257" s="14"/>
      <c r="C257" s="14" t="s">
        <v>107</v>
      </c>
      <c r="D257" s="14"/>
      <c r="E257" s="14"/>
      <c r="F257" s="16">
        <f>Source!AM132</f>
        <v>6.32</v>
      </c>
      <c r="G257" s="32">
        <f>Source!DE132</f>
      </c>
      <c r="H257" s="16">
        <f>ROUND((Source!CR132/IF(Source!BB132&lt;&gt;0,Source!BB132,1)*Source!I132),2)</f>
        <v>0.67</v>
      </c>
      <c r="I257" s="14"/>
      <c r="J257" s="14">
        <f>Source!BB132</f>
        <v>5.04</v>
      </c>
      <c r="K257" s="16">
        <f>Source!Q132</f>
        <v>3.38</v>
      </c>
      <c r="L257" s="14"/>
    </row>
    <row r="258" spans="1:12" ht="15">
      <c r="A258" s="14"/>
      <c r="B258" s="14"/>
      <c r="C258" s="14" t="s">
        <v>434</v>
      </c>
      <c r="D258" s="14"/>
      <c r="E258" s="14"/>
      <c r="F258" s="16">
        <f>Source!AN132</f>
        <v>0.1</v>
      </c>
      <c r="G258" s="32">
        <f>Source!DF132</f>
      </c>
      <c r="H258" s="40">
        <f>ROUND((Source!CS132/IF(Source!BS132&lt;&gt;0,Source!BS132,1)*Source!I132),2)</f>
        <v>0.01</v>
      </c>
      <c r="I258" s="14"/>
      <c r="J258" s="14">
        <f>Source!BS132</f>
        <v>17.84</v>
      </c>
      <c r="K258" s="40">
        <f>Source!R132</f>
        <v>0.19</v>
      </c>
      <c r="L258" s="14"/>
    </row>
    <row r="259" spans="1:12" ht="15">
      <c r="A259" s="14"/>
      <c r="B259" s="14"/>
      <c r="C259" s="14" t="s">
        <v>435</v>
      </c>
      <c r="D259" s="14"/>
      <c r="E259" s="14"/>
      <c r="F259" s="16">
        <f>Source!AL132</f>
        <v>294.06</v>
      </c>
      <c r="G259" s="32">
        <f>Source!DD132</f>
      </c>
      <c r="H259" s="16">
        <f>ROUND((Source!CQ132/IF(Source!BC132&lt;&gt;0,Source!BC132,1)*Source!I132),2)</f>
        <v>31.17</v>
      </c>
      <c r="I259" s="14"/>
      <c r="J259" s="14">
        <f>Source!BC132</f>
        <v>3.35</v>
      </c>
      <c r="K259" s="16">
        <f>Source!P132</f>
        <v>104.42</v>
      </c>
      <c r="L259" s="14"/>
    </row>
    <row r="260" spans="1:24" ht="15">
      <c r="A260" s="14"/>
      <c r="B260" s="14"/>
      <c r="C260" s="14" t="s">
        <v>430</v>
      </c>
      <c r="D260" s="17" t="s">
        <v>431</v>
      </c>
      <c r="E260" s="14"/>
      <c r="F260" s="16">
        <f>Source!BZ132</f>
        <v>90</v>
      </c>
      <c r="G260" s="14"/>
      <c r="H260" s="16">
        <f>X260</f>
        <v>3.32</v>
      </c>
      <c r="I260" s="14" t="str">
        <f>Source!FV132</f>
        <v>((*0.85))</v>
      </c>
      <c r="J260" s="16">
        <f>Source!AT132</f>
        <v>77</v>
      </c>
      <c r="K260" s="16">
        <f>Source!X132</f>
        <v>50.73</v>
      </c>
      <c r="L260" s="14"/>
      <c r="X260">
        <f>ROUND((Source!FX132/100)*(ROUND((Source!CT132/IF(Source!BA132&lt;&gt;0,Source!BA132,1)*Source!I132),2)+ROUND((Source!CS132/IF(Source!BS132&lt;&gt;0,Source!BS132,1)*Source!I132),2)),2)</f>
        <v>3.32</v>
      </c>
    </row>
    <row r="261" spans="1:25" ht="15">
      <c r="A261" s="14"/>
      <c r="B261" s="14"/>
      <c r="C261" s="14" t="s">
        <v>123</v>
      </c>
      <c r="D261" s="17" t="s">
        <v>431</v>
      </c>
      <c r="E261" s="14"/>
      <c r="F261" s="16">
        <f>Source!CA132</f>
        <v>70</v>
      </c>
      <c r="G261" s="14"/>
      <c r="H261" s="16">
        <f>Y261</f>
        <v>2.58</v>
      </c>
      <c r="I261" s="14" t="str">
        <f>Source!FW132</f>
        <v>((*0.8))</v>
      </c>
      <c r="J261" s="16">
        <f>Source!AU132</f>
        <v>56</v>
      </c>
      <c r="K261" s="16">
        <f>Source!Y132</f>
        <v>36.89</v>
      </c>
      <c r="L261" s="14"/>
      <c r="Y261">
        <f>ROUND((Source!FY132/100)*(ROUND((Source!CT132/IF(Source!BA132&lt;&gt;0,Source!BA132,1)*Source!I132),2)+ROUND((Source!CS132/IF(Source!BS132&lt;&gt;0,Source!BS132,1)*Source!I132),2)),2)</f>
        <v>2.58</v>
      </c>
    </row>
    <row r="262" spans="1:12" ht="15">
      <c r="A262" s="34"/>
      <c r="B262" s="34"/>
      <c r="C262" s="34" t="s">
        <v>432</v>
      </c>
      <c r="D262" s="35" t="s">
        <v>433</v>
      </c>
      <c r="E262" s="34">
        <f>Source!AQ132</f>
        <v>3.83</v>
      </c>
      <c r="F262" s="34"/>
      <c r="G262" s="36">
        <f>Source!DI132</f>
      </c>
      <c r="H262" s="34"/>
      <c r="I262" s="34"/>
      <c r="J262" s="34"/>
      <c r="K262" s="34"/>
      <c r="L262" s="37">
        <f>Source!U132</f>
        <v>0.40598</v>
      </c>
    </row>
    <row r="263" spans="1:23" ht="15.75">
      <c r="A263" s="14"/>
      <c r="B263" s="14"/>
      <c r="C263" s="14"/>
      <c r="D263" s="14"/>
      <c r="E263" s="14"/>
      <c r="F263" s="14"/>
      <c r="G263" s="14"/>
      <c r="H263" s="38">
        <f>ROUND((Source!CT132/IF(Source!BA132&lt;&gt;0,Source!BA132,1)*Source!I132),2)+ROUND((Source!CR132/IF(Source!BB132&lt;&gt;0,Source!BB132,1)*Source!I132),2)+H259+H260+H261</f>
        <v>41.42</v>
      </c>
      <c r="I263" s="39"/>
      <c r="J263" s="39"/>
      <c r="K263" s="38">
        <f>Source!S132+Source!Q132+K259+K260+K261</f>
        <v>261.11</v>
      </c>
      <c r="L263" s="38">
        <f>Source!U132</f>
        <v>0.40598</v>
      </c>
      <c r="M263" s="33">
        <f>H263</f>
        <v>41.42</v>
      </c>
      <c r="N263">
        <f>ROUND((Source!CT132/IF(Source!BA132&lt;&gt;0,Source!BA132,1)*Source!I132),2)</f>
        <v>3.68</v>
      </c>
      <c r="O263">
        <f>IF(Source!BI132=1,((((Source!CT132/IF(Source!BA132&lt;&gt;0,Source!BA132,1)*Source!I132)+(Source!CR132/IF(Source!BB132&lt;&gt;0,Source!BB132,1)*Source!I132)+(Source!CQ132/IF(Source!BC132&lt;&gt;0,Source!BC132,1)*Source!I132))+((Source!FX132/100)*((Source!CT132/IF(Source!BA132&lt;&gt;0,Source!BA132,1)*Source!I132)+(Source!CS132/IF(Source!BS132&lt;&gt;0,Source!BS132,1)*Source!I132)))+((Source!FY132/100)*((Source!CT132/IF(Source!BA132&lt;&gt;0,Source!BA132,1)*Source!I132)+(Source!CS132/IF(Source!BS132&lt;&gt;0,Source!BS132,1)*Source!I132))))),0)</f>
        <v>41.431584</v>
      </c>
      <c r="P263">
        <f>IF(Source!BI132=2,((((Source!CT132/IF(Source!BA132&lt;&gt;0,Source!BA132,1)*Source!I132)+(Source!CR132/IF(Source!BB132&lt;&gt;0,Source!BB132,1)*Source!I132)+(Source!CQ132/IF(Source!BC132&lt;&gt;0,Source!BC132,1)*Source!I132))+((Source!FX132/100)*((Source!CT132/IF(Source!BA132&lt;&gt;0,Source!BA132,1)*Source!I132)+(Source!CS132/IF(Source!BS132&lt;&gt;0,Source!BS132,1)*Source!I132)))+((Source!FY132/100)*((Source!CT132/IF(Source!BA132&lt;&gt;0,Source!BA132,1)*Source!I132)+(Source!CS132/IF(Source!BS132&lt;&gt;0,Source!BS132,1)*Source!I132))))),0)</f>
        <v>0</v>
      </c>
      <c r="Q263">
        <f>IF(Source!BI132=3,((((Source!CT132/IF(Source!BA132&lt;&gt;0,Source!BA132,1)*Source!I132)+(Source!CR132/IF(Source!BB132&lt;&gt;0,Source!BB132,1)*Source!I132)+(Source!CQ132/IF(Source!BC132&lt;&gt;0,Source!BC132,1)*Source!I132))+((Source!FX132/100)*((Source!CT132/IF(Source!BA132&lt;&gt;0,Source!BA132,1)*Source!I132)+(Source!CS132/IF(Source!BS132&lt;&gt;0,Source!BS132,1)*Source!I132)))+((Source!FY132/100)*((Source!CT132/IF(Source!BA132&lt;&gt;0,Source!BA132,1)*Source!I132)+(Source!CS132/IF(Source!BS132&lt;&gt;0,Source!BS132,1)*Source!I132))))),0)</f>
        <v>0</v>
      </c>
      <c r="R263">
        <f>IF(Source!BI132=4,((((Source!CT132/IF(Source!BA132&lt;&gt;0,Source!BA132,1)*Source!I132)+(Source!CR132/IF(Source!BB132&lt;&gt;0,Source!BB132,1)*Source!I132)+(Source!CQ132/IF(Source!BC132&lt;&gt;0,Source!BC132,1)*Source!I132))+((Source!FX132/100)*((Source!CT132/IF(Source!BA132&lt;&gt;0,Source!BA132,1)*Source!I132)+(Source!CS132/IF(Source!BS132&lt;&gt;0,Source!BS132,1)*Source!I132)))+((Source!FY132/100)*((Source!CT132/IF(Source!BA132&lt;&gt;0,Source!BA132,1)*Source!I132)+(Source!CS132/IF(Source!BS132&lt;&gt;0,Source!BS132,1)*Source!I132))))),0)</f>
        <v>0</v>
      </c>
      <c r="S263">
        <f>IF(Source!BI132=1,Source!O132+Source!X132+Source!Y132,0)</f>
        <v>261.11</v>
      </c>
      <c r="T263">
        <f>IF(Source!BI132=2,Source!O132+Source!X132+Source!Y132,0)</f>
        <v>0</v>
      </c>
      <c r="U263">
        <f>IF(Source!BI132=3,Source!O132+Source!X132+Source!Y132,0)</f>
        <v>0</v>
      </c>
      <c r="V263">
        <f>IF(Source!BI132=4,Source!O132+Source!X132+Source!Y132,0)</f>
        <v>0</v>
      </c>
      <c r="W263">
        <f>ROUND((Source!CS132/IF(Source!BS132&lt;&gt;0,Source!BS132,1)*Source!I132),2)</f>
        <v>0.01</v>
      </c>
    </row>
    <row r="265" spans="3:23" s="39" customFormat="1" ht="15.75">
      <c r="C265" s="39" t="s">
        <v>174</v>
      </c>
      <c r="G265" s="91">
        <f>SUM(M214:M264)</f>
        <v>13497.66</v>
      </c>
      <c r="H265" s="91"/>
      <c r="J265" s="91">
        <f>ROUND(Source!AB121+Source!AK121+Source!AL121+Source!AE121*0/100,2)</f>
        <v>130965.27</v>
      </c>
      <c r="K265" s="91"/>
      <c r="L265" s="38">
        <f>Source!AH121</f>
        <v>205.79</v>
      </c>
      <c r="N265" s="38">
        <f aca="true" t="shared" si="3" ref="N265:W265">SUM(N214:N264)</f>
        <v>1708.3200000000002</v>
      </c>
      <c r="O265" s="38">
        <f t="shared" si="3"/>
        <v>13497.691449000004</v>
      </c>
      <c r="P265" s="38">
        <f t="shared" si="3"/>
        <v>0</v>
      </c>
      <c r="Q265" s="38">
        <f t="shared" si="3"/>
        <v>0</v>
      </c>
      <c r="R265" s="38">
        <f t="shared" si="3"/>
        <v>0</v>
      </c>
      <c r="S265" s="38">
        <f t="shared" si="3"/>
        <v>130965.27</v>
      </c>
      <c r="T265" s="38">
        <f t="shared" si="3"/>
        <v>0</v>
      </c>
      <c r="U265" s="38">
        <f t="shared" si="3"/>
        <v>0</v>
      </c>
      <c r="V265" s="38">
        <f t="shared" si="3"/>
        <v>0</v>
      </c>
      <c r="W265" s="39">
        <f t="shared" si="3"/>
        <v>178</v>
      </c>
    </row>
    <row r="268" spans="3:23" s="46" customFormat="1" ht="18" hidden="1">
      <c r="C268" s="46" t="s">
        <v>436</v>
      </c>
      <c r="G268" s="90">
        <f>G125+G177+G210+G265</f>
        <v>47576.31</v>
      </c>
      <c r="H268" s="90"/>
      <c r="J268" s="90">
        <f>ROUND(Source!O150+Source!X150+Source!Y150+Source!R150*0/100,2)</f>
        <v>490199.37</v>
      </c>
      <c r="K268" s="90"/>
      <c r="L268" s="47">
        <f>Source!U150</f>
        <v>700.1</v>
      </c>
      <c r="N268" s="47">
        <f aca="true" t="shared" si="4" ref="N268:W268">N125+N177+N210+N265</f>
        <v>5791.16</v>
      </c>
      <c r="O268" s="47">
        <f t="shared" si="4"/>
        <v>47492.13134850001</v>
      </c>
      <c r="P268" s="47">
        <f t="shared" si="4"/>
        <v>0</v>
      </c>
      <c r="Q268" s="47">
        <f t="shared" si="4"/>
        <v>0</v>
      </c>
      <c r="R268" s="47">
        <f t="shared" si="4"/>
        <v>84.178</v>
      </c>
      <c r="S268" s="47">
        <f t="shared" si="4"/>
        <v>489555.9100000001</v>
      </c>
      <c r="T268" s="47">
        <f t="shared" si="4"/>
        <v>0</v>
      </c>
      <c r="U268" s="47">
        <f t="shared" si="4"/>
        <v>0</v>
      </c>
      <c r="V268" s="47">
        <f t="shared" si="4"/>
        <v>643.46</v>
      </c>
      <c r="W268" s="46">
        <f t="shared" si="4"/>
        <v>1150.74</v>
      </c>
    </row>
    <row r="270" spans="3:11" ht="18">
      <c r="C270" s="46" t="s">
        <v>437</v>
      </c>
      <c r="D270" s="89" t="str">
        <f>Source!G166</f>
        <v>Благоустройство внутридворовой территории</v>
      </c>
      <c r="E270" s="89"/>
      <c r="F270" s="89"/>
      <c r="G270" s="89"/>
      <c r="H270" s="89"/>
      <c r="I270" s="89"/>
      <c r="J270" s="89"/>
      <c r="K270" s="89"/>
    </row>
    <row r="271" spans="3:12" ht="18">
      <c r="C271" s="86" t="str">
        <f>Source!H181</f>
        <v>Итого</v>
      </c>
      <c r="D271" s="86"/>
      <c r="E271" s="86"/>
      <c r="F271" s="86"/>
      <c r="G271" s="86"/>
      <c r="H271" s="86"/>
      <c r="I271" s="86"/>
      <c r="J271" s="87">
        <f>Source!F181</f>
        <v>490199.37</v>
      </c>
      <c r="K271" s="88"/>
      <c r="L271" s="48"/>
    </row>
    <row r="272" spans="3:12" ht="18">
      <c r="C272" s="86" t="str">
        <f>Source!H182</f>
        <v>НДС 18%</v>
      </c>
      <c r="D272" s="86"/>
      <c r="E272" s="86"/>
      <c r="F272" s="86"/>
      <c r="G272" s="86"/>
      <c r="H272" s="86"/>
      <c r="I272" s="86"/>
      <c r="J272" s="87">
        <f>Source!F182</f>
        <v>88235.89</v>
      </c>
      <c r="K272" s="88"/>
      <c r="L272" s="48"/>
    </row>
    <row r="273" spans="1:12" ht="23.25">
      <c r="A273" s="79"/>
      <c r="B273" s="79"/>
      <c r="C273" s="127" t="str">
        <f>Source!H183</f>
        <v>ВСЕГО</v>
      </c>
      <c r="D273" s="127"/>
      <c r="E273" s="127"/>
      <c r="F273" s="127"/>
      <c r="G273" s="127"/>
      <c r="H273" s="127"/>
      <c r="I273" s="127"/>
      <c r="J273" s="128">
        <f>Source!F183</f>
        <v>578435.26</v>
      </c>
      <c r="K273" s="129"/>
      <c r="L273" s="79"/>
    </row>
    <row r="275" spans="3:23" s="46" customFormat="1" ht="18" hidden="1">
      <c r="C275" s="46" t="s">
        <v>437</v>
      </c>
      <c r="G275" s="90">
        <f>SUM(M1:M275)</f>
        <v>47576.31</v>
      </c>
      <c r="H275" s="90"/>
      <c r="J275" s="90">
        <f>ROUND(Source!O18+Source!X18+Source!Y18+Source!R18*0/100,2)</f>
        <v>490199.37</v>
      </c>
      <c r="K275" s="90"/>
      <c r="L275" s="47">
        <f>Source!U18</f>
        <v>700.1</v>
      </c>
      <c r="N275" s="47">
        <f aca="true" t="shared" si="5" ref="N275:W275">N125+N177+N210+N265</f>
        <v>5791.16</v>
      </c>
      <c r="O275" s="47">
        <f t="shared" si="5"/>
        <v>47492.13134850001</v>
      </c>
      <c r="P275" s="47">
        <f t="shared" si="5"/>
        <v>0</v>
      </c>
      <c r="Q275" s="47">
        <f t="shared" si="5"/>
        <v>0</v>
      </c>
      <c r="R275" s="47">
        <f t="shared" si="5"/>
        <v>84.178</v>
      </c>
      <c r="S275" s="47">
        <f t="shared" si="5"/>
        <v>489555.9100000001</v>
      </c>
      <c r="T275" s="47">
        <f t="shared" si="5"/>
        <v>0</v>
      </c>
      <c r="U275" s="47">
        <f t="shared" si="5"/>
        <v>0</v>
      </c>
      <c r="V275" s="47">
        <f t="shared" si="5"/>
        <v>643.46</v>
      </c>
      <c r="W275" s="46">
        <f t="shared" si="5"/>
        <v>1150.74</v>
      </c>
    </row>
    <row r="277" spans="1:8" s="4" customFormat="1" ht="12.75">
      <c r="A277" s="4" t="s">
        <v>438</v>
      </c>
      <c r="C277" s="49" t="str">
        <f>IF(Source!AO12&lt;&gt;"",Source!AO12," ")</f>
        <v> </v>
      </c>
      <c r="D277" s="49"/>
      <c r="E277" s="49"/>
      <c r="F277" s="49"/>
      <c r="G277" s="49"/>
      <c r="H277" s="4" t="str">
        <f>IF(Source!R12&lt;&gt;"",Source!R12," ")</f>
        <v> </v>
      </c>
    </row>
    <row r="278" spans="3:7" s="5" customFormat="1" ht="11.25">
      <c r="C278" s="85" t="s">
        <v>439</v>
      </c>
      <c r="D278" s="85"/>
      <c r="E278" s="85"/>
      <c r="F278" s="85"/>
      <c r="G278" s="85"/>
    </row>
    <row r="280" spans="1:8" s="4" customFormat="1" ht="12.75">
      <c r="A280" s="4" t="s">
        <v>440</v>
      </c>
      <c r="C280" s="49" t="str">
        <f>IF(Source!AP12&lt;&gt;"",Source!AP12," ")</f>
        <v> </v>
      </c>
      <c r="D280" s="49"/>
      <c r="E280" s="49"/>
      <c r="F280" s="49"/>
      <c r="G280" s="49"/>
      <c r="H280" s="4" t="str">
        <f>IF(Source!S12&lt;&gt;"",Source!S12," ")</f>
        <v> </v>
      </c>
    </row>
    <row r="281" spans="3:7" s="5" customFormat="1" ht="11.25">
      <c r="C281" s="85" t="s">
        <v>439</v>
      </c>
      <c r="D281" s="85"/>
      <c r="E281" s="85"/>
      <c r="F281" s="85"/>
      <c r="G281" s="85"/>
    </row>
  </sheetData>
  <sheetProtection/>
  <mergeCells count="71">
    <mergeCell ref="C281:G281"/>
    <mergeCell ref="C272:I272"/>
    <mergeCell ref="J272:K272"/>
    <mergeCell ref="C273:I273"/>
    <mergeCell ref="J273:K273"/>
    <mergeCell ref="J275:K275"/>
    <mergeCell ref="G275:H275"/>
    <mergeCell ref="C278:G278"/>
    <mergeCell ref="D270:K270"/>
    <mergeCell ref="C271:I271"/>
    <mergeCell ref="J271:K271"/>
    <mergeCell ref="G210:H210"/>
    <mergeCell ref="G265:H265"/>
    <mergeCell ref="J268:K268"/>
    <mergeCell ref="G268:H268"/>
    <mergeCell ref="D212:L212"/>
    <mergeCell ref="J265:K265"/>
    <mergeCell ref="D42:L42"/>
    <mergeCell ref="J125:K125"/>
    <mergeCell ref="G125:H125"/>
    <mergeCell ref="D127:L127"/>
    <mergeCell ref="J177:K177"/>
    <mergeCell ref="G177:H177"/>
    <mergeCell ref="D179:L179"/>
    <mergeCell ref="J210:K210"/>
    <mergeCell ref="K32:L32"/>
    <mergeCell ref="C31:F31"/>
    <mergeCell ref="G31:H31"/>
    <mergeCell ref="I31:J31"/>
    <mergeCell ref="K31:L31"/>
    <mergeCell ref="A34:C34"/>
    <mergeCell ref="C29:F29"/>
    <mergeCell ref="G29:H29"/>
    <mergeCell ref="I29:J29"/>
    <mergeCell ref="C32:F32"/>
    <mergeCell ref="G32:H32"/>
    <mergeCell ref="I32:J32"/>
    <mergeCell ref="K29:L29"/>
    <mergeCell ref="C30:F30"/>
    <mergeCell ref="G30:H30"/>
    <mergeCell ref="I30:J30"/>
    <mergeCell ref="K30:L30"/>
    <mergeCell ref="K28:L28"/>
    <mergeCell ref="C27:F27"/>
    <mergeCell ref="G27:H27"/>
    <mergeCell ref="I27:J27"/>
    <mergeCell ref="K27:L27"/>
    <mergeCell ref="I25:J25"/>
    <mergeCell ref="C28:F28"/>
    <mergeCell ref="G28:H28"/>
    <mergeCell ref="I28:J28"/>
    <mergeCell ref="G14:H14"/>
    <mergeCell ref="I14:L14"/>
    <mergeCell ref="C26:F26"/>
    <mergeCell ref="G26:H26"/>
    <mergeCell ref="I26:J26"/>
    <mergeCell ref="K26:L26"/>
    <mergeCell ref="B19:L19"/>
    <mergeCell ref="B20:L20"/>
    <mergeCell ref="A22:L22"/>
    <mergeCell ref="G25:H25"/>
    <mergeCell ref="A16:L16"/>
    <mergeCell ref="F3:I3"/>
    <mergeCell ref="A5:B5"/>
    <mergeCell ref="F5:H5"/>
    <mergeCell ref="C5:D5"/>
    <mergeCell ref="I5:K5"/>
    <mergeCell ref="C7:D7"/>
    <mergeCell ref="H7:K7"/>
    <mergeCell ref="A11:L11"/>
    <mergeCell ref="A12:L12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K203"/>
  <sheetViews>
    <sheetView zoomScalePageLayoutView="0" workbookViewId="0" topLeftCell="A115">
      <selection activeCell="G25" sqref="G25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26408</v>
      </c>
    </row>
    <row r="12" spans="1:104" ht="12.75">
      <c r="A12" s="1">
        <v>1</v>
      </c>
      <c r="B12" s="1">
        <v>1</v>
      </c>
      <c r="C12" s="1">
        <v>0</v>
      </c>
      <c r="D12" s="1">
        <f>ROW(A166)</f>
        <v>166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2012</v>
      </c>
      <c r="Q12" s="1">
        <v>6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27553839</v>
      </c>
      <c r="BE12" s="1" t="s">
        <v>7</v>
      </c>
      <c r="BF12" s="1" t="s">
        <v>8</v>
      </c>
      <c r="BG12" s="1">
        <v>26519056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24419778</v>
      </c>
      <c r="CB12" s="1">
        <v>24419774</v>
      </c>
      <c r="CC12" s="1">
        <v>24419772</v>
      </c>
      <c r="CD12" s="1">
        <v>24419770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24450669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22761340</v>
      </c>
      <c r="CT12" s="1">
        <v>0</v>
      </c>
      <c r="CU12" s="1">
        <v>0</v>
      </c>
      <c r="CV12" s="1">
        <v>24644847</v>
      </c>
      <c r="CW12" s="1">
        <v>24644850</v>
      </c>
      <c r="CX12" s="1">
        <v>27232788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B166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Благоустройство внутридворовой территории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300094.95</v>
      </c>
      <c r="P18" s="2">
        <f t="shared" si="0"/>
        <v>53561.22</v>
      </c>
      <c r="Q18" s="2">
        <f t="shared" si="0"/>
        <v>143219.5</v>
      </c>
      <c r="R18" s="2">
        <f t="shared" si="0"/>
        <v>20529.09</v>
      </c>
      <c r="S18" s="2">
        <f t="shared" si="0"/>
        <v>103314.23</v>
      </c>
      <c r="T18" s="2">
        <f t="shared" si="0"/>
        <v>0</v>
      </c>
      <c r="U18" s="2">
        <f t="shared" si="0"/>
        <v>700.1</v>
      </c>
      <c r="V18" s="2">
        <f t="shared" si="0"/>
        <v>77.43</v>
      </c>
      <c r="W18" s="2">
        <f t="shared" si="0"/>
        <v>0</v>
      </c>
      <c r="X18" s="2">
        <f t="shared" si="0"/>
        <v>116961.28</v>
      </c>
      <c r="Y18" s="2">
        <f t="shared" si="0"/>
        <v>73143.14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ROW(A150)</f>
        <v>150</v>
      </c>
      <c r="E20" s="1"/>
      <c r="F20" s="1" t="s">
        <v>13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14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B150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300094.95</v>
      </c>
      <c r="P22" s="2">
        <f t="shared" si="1"/>
        <v>53561.22</v>
      </c>
      <c r="Q22" s="2">
        <f t="shared" si="1"/>
        <v>143219.5</v>
      </c>
      <c r="R22" s="2">
        <f t="shared" si="1"/>
        <v>20529.09</v>
      </c>
      <c r="S22" s="2">
        <f t="shared" si="1"/>
        <v>103314.23</v>
      </c>
      <c r="T22" s="2">
        <f t="shared" si="1"/>
        <v>0</v>
      </c>
      <c r="U22" s="2">
        <f t="shared" si="1"/>
        <v>700.1</v>
      </c>
      <c r="V22" s="2">
        <f t="shared" si="1"/>
        <v>77.43</v>
      </c>
      <c r="W22" s="2">
        <f t="shared" si="1"/>
        <v>0</v>
      </c>
      <c r="X22" s="2">
        <f t="shared" si="1"/>
        <v>116961.28</v>
      </c>
      <c r="Y22" s="2">
        <f t="shared" si="1"/>
        <v>73143.14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ROW(A44)</f>
        <v>44</v>
      </c>
      <c r="E24" s="1"/>
      <c r="F24" s="1" t="s">
        <v>15</v>
      </c>
      <c r="G24" s="1" t="s">
        <v>482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3</v>
      </c>
      <c r="AP24" s="1" t="s">
        <v>3</v>
      </c>
      <c r="AQ24" s="1" t="s">
        <v>3</v>
      </c>
      <c r="AR24" s="1"/>
      <c r="AS24" s="1"/>
      <c r="AT24" s="1" t="s">
        <v>3</v>
      </c>
      <c r="AU24" s="1" t="s">
        <v>3</v>
      </c>
      <c r="AV24" s="1" t="s">
        <v>3</v>
      </c>
      <c r="AW24" s="1" t="s">
        <v>3</v>
      </c>
      <c r="AX24" s="1" t="s">
        <v>3</v>
      </c>
      <c r="AY24" s="1" t="s">
        <v>3</v>
      </c>
      <c r="AZ24" s="1" t="s">
        <v>3</v>
      </c>
      <c r="BA24" s="1" t="s">
        <v>3</v>
      </c>
      <c r="BB24" s="1" t="s">
        <v>3</v>
      </c>
      <c r="BC24" s="1" t="s">
        <v>3</v>
      </c>
      <c r="BD24" s="1" t="s">
        <v>3</v>
      </c>
      <c r="BE24" s="1" t="s">
        <v>16</v>
      </c>
      <c r="BF24" s="1">
        <v>0</v>
      </c>
      <c r="BG24" s="1">
        <v>0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>
        <v>0</v>
      </c>
      <c r="BN24" s="1" t="s">
        <v>3</v>
      </c>
      <c r="BO24" s="1">
        <v>0</v>
      </c>
    </row>
    <row r="26" spans="1:43" ht="12.75">
      <c r="A26" s="2">
        <v>52</v>
      </c>
      <c r="B26" s="2">
        <f aca="true" t="shared" si="2" ref="B26:AQ26">B44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Внутридворовая территория около д. 35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142611.41</v>
      </c>
      <c r="P26" s="2">
        <f t="shared" si="2"/>
        <v>4871.25</v>
      </c>
      <c r="Q26" s="2">
        <f t="shared" si="2"/>
        <v>96205.98</v>
      </c>
      <c r="R26" s="2">
        <f t="shared" si="2"/>
        <v>12862.08</v>
      </c>
      <c r="S26" s="2">
        <f t="shared" si="2"/>
        <v>41534.18</v>
      </c>
      <c r="T26" s="2">
        <f t="shared" si="2"/>
        <v>0</v>
      </c>
      <c r="U26" s="2">
        <f t="shared" si="2"/>
        <v>275.6</v>
      </c>
      <c r="V26" s="2">
        <f t="shared" si="2"/>
        <v>47.62</v>
      </c>
      <c r="W26" s="2">
        <f t="shared" si="2"/>
        <v>0</v>
      </c>
      <c r="X26" s="2">
        <f t="shared" si="2"/>
        <v>49522.53</v>
      </c>
      <c r="Y26" s="2">
        <f t="shared" si="2"/>
        <v>28233.36</v>
      </c>
      <c r="Z26" s="2">
        <f t="shared" si="2"/>
        <v>0</v>
      </c>
      <c r="AA26" s="2">
        <f t="shared" si="2"/>
        <v>0</v>
      </c>
      <c r="AB26" s="2">
        <f t="shared" si="2"/>
        <v>142611.41</v>
      </c>
      <c r="AC26" s="2">
        <f t="shared" si="2"/>
        <v>4871.25</v>
      </c>
      <c r="AD26" s="2">
        <f t="shared" si="2"/>
        <v>96205.98</v>
      </c>
      <c r="AE26" s="2">
        <f t="shared" si="2"/>
        <v>12862.08</v>
      </c>
      <c r="AF26" s="2">
        <f t="shared" si="2"/>
        <v>41534.18</v>
      </c>
      <c r="AG26" s="2">
        <f t="shared" si="2"/>
        <v>0</v>
      </c>
      <c r="AH26" s="2">
        <f t="shared" si="2"/>
        <v>275.6</v>
      </c>
      <c r="AI26" s="2">
        <f t="shared" si="2"/>
        <v>47.62</v>
      </c>
      <c r="AJ26" s="2">
        <f t="shared" si="2"/>
        <v>0</v>
      </c>
      <c r="AK26" s="2">
        <f t="shared" si="2"/>
        <v>49522.53</v>
      </c>
      <c r="AL26" s="2">
        <f t="shared" si="2"/>
        <v>28233.36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93" ht="12.75">
      <c r="A28">
        <v>17</v>
      </c>
      <c r="B28">
        <v>1</v>
      </c>
      <c r="C28">
        <f>ROW(SmtRes!A3)</f>
        <v>3</v>
      </c>
      <c r="D28">
        <f>ROW(EtalonRes!A3)</f>
        <v>3</v>
      </c>
      <c r="E28" t="s">
        <v>17</v>
      </c>
      <c r="F28" t="s">
        <v>18</v>
      </c>
      <c r="G28" t="s">
        <v>19</v>
      </c>
      <c r="H28" t="s">
        <v>20</v>
      </c>
      <c r="I28">
        <v>6</v>
      </c>
      <c r="J28">
        <v>0</v>
      </c>
      <c r="O28">
        <f aca="true" t="shared" si="3" ref="O28:O42">ROUND(CP28,2)</f>
        <v>14318.12</v>
      </c>
      <c r="P28">
        <f aca="true" t="shared" si="4" ref="P28:P42">ROUND(CQ28*I28,2)</f>
        <v>0</v>
      </c>
      <c r="Q28">
        <f aca="true" t="shared" si="5" ref="Q28:Q42">ROUND(CR28*I28,2)</f>
        <v>1367.35</v>
      </c>
      <c r="R28">
        <f aca="true" t="shared" si="6" ref="R28:R42">ROUND(CS28*I28,2)</f>
        <v>0</v>
      </c>
      <c r="S28">
        <f aca="true" t="shared" si="7" ref="S28:S42">ROUND(CT28*I28,2)</f>
        <v>12950.77</v>
      </c>
      <c r="T28">
        <f aca="true" t="shared" si="8" ref="T28:T42">ROUND(CU28*I28,2)</f>
        <v>0</v>
      </c>
      <c r="U28">
        <f aca="true" t="shared" si="9" ref="U28:U42">CV28*I28</f>
        <v>80.03999999999999</v>
      </c>
      <c r="V28">
        <f aca="true" t="shared" si="10" ref="V28:V42">CW28*I28</f>
        <v>0</v>
      </c>
      <c r="W28">
        <f aca="true" t="shared" si="11" ref="W28:W42">ROUND(CX28*I28,2)</f>
        <v>0</v>
      </c>
      <c r="X28">
        <f aca="true" t="shared" si="12" ref="X28:X42">ROUND(CY28,2)</f>
        <v>11396.68</v>
      </c>
      <c r="Y28">
        <f aca="true" t="shared" si="13" ref="Y28:Y42">ROUND(CZ28,2)</f>
        <v>6216.37</v>
      </c>
      <c r="AA28">
        <v>0</v>
      </c>
      <c r="AB28">
        <f aca="true" t="shared" si="14" ref="AB28:AB42">(AC28+AD28+AF28)</f>
        <v>153.97</v>
      </c>
      <c r="AC28">
        <f aca="true" t="shared" si="15" ref="AC28:AF33">(ES28)</f>
        <v>0</v>
      </c>
      <c r="AD28">
        <f t="shared" si="15"/>
        <v>32.98</v>
      </c>
      <c r="AE28">
        <f t="shared" si="15"/>
        <v>0</v>
      </c>
      <c r="AF28">
        <f t="shared" si="15"/>
        <v>120.99</v>
      </c>
      <c r="AG28">
        <f aca="true" t="shared" si="16" ref="AG28:AG39">(AP28)</f>
        <v>0</v>
      </c>
      <c r="AH28">
        <f aca="true" t="shared" si="17" ref="AH28:AI33">(EW28)</f>
        <v>13.34</v>
      </c>
      <c r="AI28">
        <f t="shared" si="17"/>
        <v>0</v>
      </c>
      <c r="AJ28">
        <f aca="true" t="shared" si="18" ref="AJ28:AJ39">(AS28)</f>
        <v>0</v>
      </c>
      <c r="AK28">
        <v>153.97</v>
      </c>
      <c r="AL28">
        <v>0</v>
      </c>
      <c r="AM28">
        <v>32.98</v>
      </c>
      <c r="AN28">
        <v>0</v>
      </c>
      <c r="AO28">
        <v>120.99</v>
      </c>
      <c r="AP28">
        <v>0</v>
      </c>
      <c r="AQ28">
        <v>13.34</v>
      </c>
      <c r="AR28">
        <v>0</v>
      </c>
      <c r="AS28">
        <v>0</v>
      </c>
      <c r="AT28">
        <v>88</v>
      </c>
      <c r="AU28">
        <v>48</v>
      </c>
      <c r="AV28">
        <v>1</v>
      </c>
      <c r="AW28">
        <v>1</v>
      </c>
      <c r="AX28">
        <v>1</v>
      </c>
      <c r="AY28">
        <v>1</v>
      </c>
      <c r="AZ28">
        <v>15.1</v>
      </c>
      <c r="BA28">
        <v>17.84</v>
      </c>
      <c r="BB28">
        <v>6.91</v>
      </c>
      <c r="BC28">
        <v>1</v>
      </c>
      <c r="BH28">
        <v>0</v>
      </c>
      <c r="BI28">
        <v>1</v>
      </c>
      <c r="BJ28" t="s">
        <v>21</v>
      </c>
      <c r="BM28">
        <v>68001</v>
      </c>
      <c r="BN28">
        <v>0</v>
      </c>
      <c r="BO28" t="s">
        <v>18</v>
      </c>
      <c r="BP28">
        <v>1</v>
      </c>
      <c r="BQ28">
        <v>6</v>
      </c>
      <c r="BR28">
        <v>0</v>
      </c>
      <c r="BS28">
        <v>17.84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104</v>
      </c>
      <c r="CA28">
        <v>60</v>
      </c>
      <c r="CF28">
        <v>0</v>
      </c>
      <c r="CG28">
        <v>0</v>
      </c>
      <c r="CM28">
        <v>0</v>
      </c>
      <c r="CO28">
        <v>0</v>
      </c>
      <c r="CP28">
        <f aca="true" t="shared" si="19" ref="CP28:CP42">(P28+Q28+S28)</f>
        <v>14318.12</v>
      </c>
      <c r="CQ28">
        <f aca="true" t="shared" si="20" ref="CQ28:CQ42">(AC28)*BC28</f>
        <v>0</v>
      </c>
      <c r="CR28">
        <f aca="true" t="shared" si="21" ref="CR28:CR42">(AD28)*BB28</f>
        <v>227.8918</v>
      </c>
      <c r="CS28">
        <f aca="true" t="shared" si="22" ref="CS28:CS42">(AE28)*BS28</f>
        <v>0</v>
      </c>
      <c r="CT28">
        <f aca="true" t="shared" si="23" ref="CT28:CT42">(AF28)*BA28</f>
        <v>2158.4616</v>
      </c>
      <c r="CU28">
        <f aca="true" t="shared" si="24" ref="CU28:CU42">(AG28)*BT28</f>
        <v>0</v>
      </c>
      <c r="CV28">
        <f aca="true" t="shared" si="25" ref="CV28:CV42">(AH28)*BU28</f>
        <v>13.34</v>
      </c>
      <c r="CW28">
        <f aca="true" t="shared" si="26" ref="CW28:CW42">(AI28)*BV28</f>
        <v>0</v>
      </c>
      <c r="CX28">
        <f aca="true" t="shared" si="27" ref="CX28:CX42">(AJ28)*BW28</f>
        <v>0</v>
      </c>
      <c r="CY28">
        <f aca="true" t="shared" si="28" ref="CY28:CY42">((S28+R28)*(ROUND((FX28*IF(1,(IF(0,0.94,0.85)*IF(0,0.85,1)),1)),IF(1,0,2))/100))</f>
        <v>11396.6776</v>
      </c>
      <c r="CZ28">
        <f aca="true" t="shared" si="29" ref="CZ28:CZ42">((S28+R28)*(ROUND((FY28*IF(1,0.8,1)),IF(1,0,2))/100))</f>
        <v>6216.3696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20</v>
      </c>
      <c r="DW28" t="s">
        <v>22</v>
      </c>
      <c r="DX28">
        <v>1</v>
      </c>
      <c r="EE28">
        <v>26519323</v>
      </c>
      <c r="EF28">
        <v>6</v>
      </c>
      <c r="EG28" t="s">
        <v>23</v>
      </c>
      <c r="EH28">
        <v>0</v>
      </c>
      <c r="EJ28">
        <v>1</v>
      </c>
      <c r="EK28">
        <v>68001</v>
      </c>
      <c r="EL28" t="s">
        <v>24</v>
      </c>
      <c r="EM28" t="s">
        <v>25</v>
      </c>
      <c r="EQ28">
        <v>0</v>
      </c>
      <c r="ER28">
        <v>153.97</v>
      </c>
      <c r="ES28">
        <v>0</v>
      </c>
      <c r="ET28">
        <v>32.98</v>
      </c>
      <c r="EU28">
        <v>0</v>
      </c>
      <c r="EV28">
        <v>120.99</v>
      </c>
      <c r="EW28">
        <v>13.34</v>
      </c>
      <c r="EX28">
        <v>0</v>
      </c>
      <c r="EY28">
        <v>0</v>
      </c>
      <c r="EZ28">
        <v>0</v>
      </c>
      <c r="FQ28">
        <v>0</v>
      </c>
      <c r="FR28">
        <f aca="true" t="shared" si="30" ref="FR28:FR42">ROUND(IF(AND(AA28=0,BI28=3),P28,0),2)</f>
        <v>0</v>
      </c>
      <c r="FS28">
        <v>0</v>
      </c>
      <c r="FV28" t="s">
        <v>26</v>
      </c>
      <c r="FW28" t="s">
        <v>27</v>
      </c>
      <c r="FX28">
        <v>104</v>
      </c>
      <c r="FY28">
        <v>60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</row>
    <row r="29" spans="1:193" ht="12.75">
      <c r="A29">
        <v>17</v>
      </c>
      <c r="B29">
        <v>1</v>
      </c>
      <c r="C29">
        <f>ROW(SmtRes!A6)</f>
        <v>6</v>
      </c>
      <c r="D29">
        <f>ROW(EtalonRes!A6)</f>
        <v>6</v>
      </c>
      <c r="E29" t="s">
        <v>28</v>
      </c>
      <c r="F29" t="s">
        <v>29</v>
      </c>
      <c r="G29" t="s">
        <v>30</v>
      </c>
      <c r="H29" t="s">
        <v>20</v>
      </c>
      <c r="I29">
        <v>22</v>
      </c>
      <c r="J29">
        <v>0</v>
      </c>
      <c r="O29">
        <f t="shared" si="3"/>
        <v>93160.32</v>
      </c>
      <c r="P29">
        <f t="shared" si="4"/>
        <v>0</v>
      </c>
      <c r="Q29">
        <f t="shared" si="5"/>
        <v>86288</v>
      </c>
      <c r="R29">
        <f t="shared" si="6"/>
        <v>11256.33</v>
      </c>
      <c r="S29">
        <f t="shared" si="7"/>
        <v>6872.32</v>
      </c>
      <c r="T29">
        <f t="shared" si="8"/>
        <v>0</v>
      </c>
      <c r="U29">
        <f t="shared" si="9"/>
        <v>45.54</v>
      </c>
      <c r="V29">
        <f t="shared" si="10"/>
        <v>40.92</v>
      </c>
      <c r="W29">
        <f t="shared" si="11"/>
        <v>0</v>
      </c>
      <c r="X29">
        <f t="shared" si="12"/>
        <v>15953.21</v>
      </c>
      <c r="Y29">
        <f t="shared" si="13"/>
        <v>8701.75</v>
      </c>
      <c r="AA29">
        <v>0</v>
      </c>
      <c r="AB29">
        <f t="shared" si="14"/>
        <v>519.71</v>
      </c>
      <c r="AC29">
        <f t="shared" si="15"/>
        <v>0</v>
      </c>
      <c r="AD29">
        <f t="shared" si="15"/>
        <v>502.2</v>
      </c>
      <c r="AE29">
        <f t="shared" si="15"/>
        <v>28.68</v>
      </c>
      <c r="AF29">
        <f t="shared" si="15"/>
        <v>17.51</v>
      </c>
      <c r="AG29">
        <f t="shared" si="16"/>
        <v>0</v>
      </c>
      <c r="AH29">
        <f t="shared" si="17"/>
        <v>2.07</v>
      </c>
      <c r="AI29">
        <f t="shared" si="17"/>
        <v>1.86</v>
      </c>
      <c r="AJ29">
        <f t="shared" si="18"/>
        <v>0</v>
      </c>
      <c r="AK29">
        <v>519.71</v>
      </c>
      <c r="AL29">
        <v>0</v>
      </c>
      <c r="AM29">
        <v>502.2</v>
      </c>
      <c r="AN29">
        <v>28.68</v>
      </c>
      <c r="AO29">
        <v>17.51</v>
      </c>
      <c r="AP29">
        <v>0</v>
      </c>
      <c r="AQ29">
        <v>2.07</v>
      </c>
      <c r="AR29">
        <v>1.86</v>
      </c>
      <c r="AS29">
        <v>0</v>
      </c>
      <c r="AT29">
        <v>88</v>
      </c>
      <c r="AU29">
        <v>48</v>
      </c>
      <c r="AV29">
        <v>1</v>
      </c>
      <c r="AW29">
        <v>1</v>
      </c>
      <c r="AX29">
        <v>1</v>
      </c>
      <c r="AY29">
        <v>1</v>
      </c>
      <c r="AZ29">
        <v>9</v>
      </c>
      <c r="BA29">
        <v>17.84</v>
      </c>
      <c r="BB29">
        <v>7.81</v>
      </c>
      <c r="BC29">
        <v>1</v>
      </c>
      <c r="BH29">
        <v>0</v>
      </c>
      <c r="BI29">
        <v>1</v>
      </c>
      <c r="BJ29" t="s">
        <v>31</v>
      </c>
      <c r="BM29">
        <v>68001</v>
      </c>
      <c r="BN29">
        <v>0</v>
      </c>
      <c r="BO29" t="s">
        <v>29</v>
      </c>
      <c r="BP29">
        <v>1</v>
      </c>
      <c r="BQ29">
        <v>6</v>
      </c>
      <c r="BR29">
        <v>0</v>
      </c>
      <c r="BS29">
        <v>17.84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104</v>
      </c>
      <c r="CA29">
        <v>60</v>
      </c>
      <c r="CF29">
        <v>0</v>
      </c>
      <c r="CG29">
        <v>0</v>
      </c>
      <c r="CM29">
        <v>0</v>
      </c>
      <c r="CO29">
        <v>0</v>
      </c>
      <c r="CP29">
        <f t="shared" si="19"/>
        <v>93160.32</v>
      </c>
      <c r="CQ29">
        <f t="shared" si="20"/>
        <v>0</v>
      </c>
      <c r="CR29">
        <f t="shared" si="21"/>
        <v>3922.182</v>
      </c>
      <c r="CS29">
        <f t="shared" si="22"/>
        <v>511.6512</v>
      </c>
      <c r="CT29">
        <f t="shared" si="23"/>
        <v>312.3784</v>
      </c>
      <c r="CU29">
        <f t="shared" si="24"/>
        <v>0</v>
      </c>
      <c r="CV29">
        <f t="shared" si="25"/>
        <v>2.07</v>
      </c>
      <c r="CW29">
        <f t="shared" si="26"/>
        <v>1.86</v>
      </c>
      <c r="CX29">
        <f t="shared" si="27"/>
        <v>0</v>
      </c>
      <c r="CY29">
        <f t="shared" si="28"/>
        <v>15953.212000000001</v>
      </c>
      <c r="CZ29">
        <f t="shared" si="29"/>
        <v>8701.752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20</v>
      </c>
      <c r="DW29" t="s">
        <v>22</v>
      </c>
      <c r="DX29">
        <v>1</v>
      </c>
      <c r="EE29">
        <v>26519323</v>
      </c>
      <c r="EF29">
        <v>6</v>
      </c>
      <c r="EG29" t="s">
        <v>23</v>
      </c>
      <c r="EH29">
        <v>0</v>
      </c>
      <c r="EJ29">
        <v>1</v>
      </c>
      <c r="EK29">
        <v>68001</v>
      </c>
      <c r="EL29" t="s">
        <v>24</v>
      </c>
      <c r="EM29" t="s">
        <v>25</v>
      </c>
      <c r="EQ29">
        <v>0</v>
      </c>
      <c r="ER29">
        <v>519.71</v>
      </c>
      <c r="ES29">
        <v>0</v>
      </c>
      <c r="ET29">
        <v>502.2</v>
      </c>
      <c r="EU29">
        <v>28.68</v>
      </c>
      <c r="EV29">
        <v>17.51</v>
      </c>
      <c r="EW29">
        <v>2.07</v>
      </c>
      <c r="EX29">
        <v>1.86</v>
      </c>
      <c r="EY29">
        <v>0</v>
      </c>
      <c r="EZ29">
        <v>0</v>
      </c>
      <c r="FQ29">
        <v>0</v>
      </c>
      <c r="FR29">
        <f t="shared" si="30"/>
        <v>0</v>
      </c>
      <c r="FS29">
        <v>0</v>
      </c>
      <c r="FV29" t="s">
        <v>26</v>
      </c>
      <c r="FW29" t="s">
        <v>27</v>
      </c>
      <c r="FX29">
        <v>104</v>
      </c>
      <c r="FY29">
        <v>60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</row>
    <row r="30" spans="1:193" ht="12.75">
      <c r="A30">
        <v>17</v>
      </c>
      <c r="B30">
        <v>1</v>
      </c>
      <c r="C30">
        <f>ROW(SmtRes!A8)</f>
        <v>8</v>
      </c>
      <c r="D30">
        <f>ROW(EtalonRes!A8)</f>
        <v>8</v>
      </c>
      <c r="E30" t="s">
        <v>32</v>
      </c>
      <c r="F30" t="s">
        <v>33</v>
      </c>
      <c r="G30" t="s">
        <v>34</v>
      </c>
      <c r="H30" t="s">
        <v>20</v>
      </c>
      <c r="I30">
        <v>19</v>
      </c>
      <c r="J30">
        <v>0</v>
      </c>
      <c r="O30">
        <f t="shared" si="3"/>
        <v>1518.54</v>
      </c>
      <c r="P30">
        <f t="shared" si="4"/>
        <v>0</v>
      </c>
      <c r="Q30">
        <f t="shared" si="5"/>
        <v>0</v>
      </c>
      <c r="R30">
        <f t="shared" si="6"/>
        <v>0</v>
      </c>
      <c r="S30">
        <f t="shared" si="7"/>
        <v>1518.54</v>
      </c>
      <c r="T30">
        <f t="shared" si="8"/>
        <v>0</v>
      </c>
      <c r="U30">
        <f t="shared" si="9"/>
        <v>10.07</v>
      </c>
      <c r="V30">
        <f t="shared" si="10"/>
        <v>0</v>
      </c>
      <c r="W30">
        <f t="shared" si="11"/>
        <v>0</v>
      </c>
      <c r="X30">
        <f t="shared" si="12"/>
        <v>1336.32</v>
      </c>
      <c r="Y30">
        <f t="shared" si="13"/>
        <v>728.9</v>
      </c>
      <c r="AA30">
        <v>0</v>
      </c>
      <c r="AB30">
        <f t="shared" si="14"/>
        <v>4.48</v>
      </c>
      <c r="AC30">
        <f t="shared" si="15"/>
        <v>0</v>
      </c>
      <c r="AD30">
        <f t="shared" si="15"/>
        <v>0</v>
      </c>
      <c r="AE30">
        <f t="shared" si="15"/>
        <v>0</v>
      </c>
      <c r="AF30">
        <f t="shared" si="15"/>
        <v>4.48</v>
      </c>
      <c r="AG30">
        <f t="shared" si="16"/>
        <v>0</v>
      </c>
      <c r="AH30">
        <f t="shared" si="17"/>
        <v>0.53</v>
      </c>
      <c r="AI30">
        <f t="shared" si="17"/>
        <v>0</v>
      </c>
      <c r="AJ30">
        <f t="shared" si="18"/>
        <v>0</v>
      </c>
      <c r="AK30">
        <v>4.48</v>
      </c>
      <c r="AL30">
        <v>0</v>
      </c>
      <c r="AM30">
        <v>0</v>
      </c>
      <c r="AN30">
        <v>0</v>
      </c>
      <c r="AO30">
        <v>4.48</v>
      </c>
      <c r="AP30">
        <v>0</v>
      </c>
      <c r="AQ30">
        <v>0.53</v>
      </c>
      <c r="AR30">
        <v>0</v>
      </c>
      <c r="AS30">
        <v>0</v>
      </c>
      <c r="AT30">
        <v>88</v>
      </c>
      <c r="AU30">
        <v>48</v>
      </c>
      <c r="AV30">
        <v>1</v>
      </c>
      <c r="AW30">
        <v>1</v>
      </c>
      <c r="AX30">
        <v>1</v>
      </c>
      <c r="AY30">
        <v>1</v>
      </c>
      <c r="AZ30">
        <v>15.95</v>
      </c>
      <c r="BA30">
        <v>17.84</v>
      </c>
      <c r="BB30">
        <v>1</v>
      </c>
      <c r="BC30">
        <v>1</v>
      </c>
      <c r="BH30">
        <v>0</v>
      </c>
      <c r="BI30">
        <v>1</v>
      </c>
      <c r="BJ30" t="s">
        <v>35</v>
      </c>
      <c r="BM30">
        <v>68001</v>
      </c>
      <c r="BN30">
        <v>0</v>
      </c>
      <c r="BO30" t="s">
        <v>33</v>
      </c>
      <c r="BP30">
        <v>1</v>
      </c>
      <c r="BQ30">
        <v>6</v>
      </c>
      <c r="BR30">
        <v>0</v>
      </c>
      <c r="BS30">
        <v>17.84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104</v>
      </c>
      <c r="CA30">
        <v>60</v>
      </c>
      <c r="CF30">
        <v>0</v>
      </c>
      <c r="CG30">
        <v>0</v>
      </c>
      <c r="CM30">
        <v>0</v>
      </c>
      <c r="CO30">
        <v>0</v>
      </c>
      <c r="CP30">
        <f t="shared" si="19"/>
        <v>1518.54</v>
      </c>
      <c r="CQ30">
        <f t="shared" si="20"/>
        <v>0</v>
      </c>
      <c r="CR30">
        <f t="shared" si="21"/>
        <v>0</v>
      </c>
      <c r="CS30">
        <f t="shared" si="22"/>
        <v>0</v>
      </c>
      <c r="CT30">
        <f t="shared" si="23"/>
        <v>79.92320000000001</v>
      </c>
      <c r="CU30">
        <f t="shared" si="24"/>
        <v>0</v>
      </c>
      <c r="CV30">
        <f t="shared" si="25"/>
        <v>0.53</v>
      </c>
      <c r="CW30">
        <f t="shared" si="26"/>
        <v>0</v>
      </c>
      <c r="CX30">
        <f t="shared" si="27"/>
        <v>0</v>
      </c>
      <c r="CY30">
        <f t="shared" si="28"/>
        <v>1336.3152</v>
      </c>
      <c r="CZ30">
        <f t="shared" si="29"/>
        <v>728.8992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20</v>
      </c>
      <c r="DW30" t="s">
        <v>22</v>
      </c>
      <c r="DX30">
        <v>1</v>
      </c>
      <c r="EE30">
        <v>26519323</v>
      </c>
      <c r="EF30">
        <v>6</v>
      </c>
      <c r="EG30" t="s">
        <v>23</v>
      </c>
      <c r="EH30">
        <v>0</v>
      </c>
      <c r="EJ30">
        <v>1</v>
      </c>
      <c r="EK30">
        <v>68001</v>
      </c>
      <c r="EL30" t="s">
        <v>24</v>
      </c>
      <c r="EM30" t="s">
        <v>25</v>
      </c>
      <c r="EQ30">
        <v>0</v>
      </c>
      <c r="ER30">
        <v>4.48</v>
      </c>
      <c r="ES30">
        <v>0</v>
      </c>
      <c r="ET30">
        <v>0</v>
      </c>
      <c r="EU30">
        <v>0</v>
      </c>
      <c r="EV30">
        <v>4.48</v>
      </c>
      <c r="EW30">
        <v>0.53</v>
      </c>
      <c r="EX30">
        <v>0</v>
      </c>
      <c r="EY30">
        <v>0</v>
      </c>
      <c r="EZ30">
        <v>0</v>
      </c>
      <c r="FQ30">
        <v>0</v>
      </c>
      <c r="FR30">
        <f t="shared" si="30"/>
        <v>0</v>
      </c>
      <c r="FS30">
        <v>0</v>
      </c>
      <c r="FV30" t="s">
        <v>26</v>
      </c>
      <c r="FW30" t="s">
        <v>27</v>
      </c>
      <c r="FX30">
        <v>104</v>
      </c>
      <c r="FY30">
        <v>60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</row>
    <row r="31" spans="1:193" ht="12.75">
      <c r="A31">
        <v>17</v>
      </c>
      <c r="B31">
        <v>1</v>
      </c>
      <c r="E31" t="s">
        <v>36</v>
      </c>
      <c r="F31" t="s">
        <v>37</v>
      </c>
      <c r="G31" t="s">
        <v>38</v>
      </c>
      <c r="H31" t="s">
        <v>39</v>
      </c>
      <c r="I31">
        <v>1.5</v>
      </c>
      <c r="J31">
        <v>0</v>
      </c>
      <c r="O31">
        <f t="shared" si="3"/>
        <v>111.05</v>
      </c>
      <c r="P31">
        <f t="shared" si="4"/>
        <v>0</v>
      </c>
      <c r="Q31">
        <f t="shared" si="5"/>
        <v>0</v>
      </c>
      <c r="R31">
        <f t="shared" si="6"/>
        <v>0</v>
      </c>
      <c r="S31">
        <f t="shared" si="7"/>
        <v>111.05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94.39</v>
      </c>
      <c r="Y31">
        <f t="shared" si="13"/>
        <v>53.3</v>
      </c>
      <c r="AA31">
        <v>0</v>
      </c>
      <c r="AB31">
        <f t="shared" si="14"/>
        <v>4.15</v>
      </c>
      <c r="AC31">
        <f t="shared" si="15"/>
        <v>0</v>
      </c>
      <c r="AD31">
        <f t="shared" si="15"/>
        <v>0</v>
      </c>
      <c r="AE31">
        <f t="shared" si="15"/>
        <v>0</v>
      </c>
      <c r="AF31">
        <f t="shared" si="15"/>
        <v>4.15</v>
      </c>
      <c r="AG31">
        <f t="shared" si="16"/>
        <v>0</v>
      </c>
      <c r="AH31">
        <f t="shared" si="17"/>
        <v>0</v>
      </c>
      <c r="AI31">
        <f t="shared" si="17"/>
        <v>0</v>
      </c>
      <c r="AJ31">
        <f t="shared" si="18"/>
        <v>0</v>
      </c>
      <c r="AK31">
        <v>4.15</v>
      </c>
      <c r="AL31">
        <v>0</v>
      </c>
      <c r="AM31">
        <v>0</v>
      </c>
      <c r="AN31">
        <v>0</v>
      </c>
      <c r="AO31">
        <v>4.15</v>
      </c>
      <c r="AP31">
        <v>0</v>
      </c>
      <c r="AQ31">
        <v>0</v>
      </c>
      <c r="AR31">
        <v>0</v>
      </c>
      <c r="AS31">
        <v>0</v>
      </c>
      <c r="AT31">
        <v>85</v>
      </c>
      <c r="AU31">
        <v>48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17.84</v>
      </c>
      <c r="BB31">
        <v>1</v>
      </c>
      <c r="BC31">
        <v>1</v>
      </c>
      <c r="BH31">
        <v>3</v>
      </c>
      <c r="BI31">
        <v>4</v>
      </c>
      <c r="BM31">
        <v>0</v>
      </c>
      <c r="BN31">
        <v>0</v>
      </c>
      <c r="BP31">
        <v>0</v>
      </c>
      <c r="BQ31">
        <v>1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100</v>
      </c>
      <c r="CA31">
        <v>60</v>
      </c>
      <c r="CF31">
        <v>0</v>
      </c>
      <c r="CG31">
        <v>0</v>
      </c>
      <c r="CM31">
        <v>0</v>
      </c>
      <c r="CO31">
        <v>0</v>
      </c>
      <c r="CP31">
        <f t="shared" si="19"/>
        <v>111.05</v>
      </c>
      <c r="CQ31">
        <f t="shared" si="20"/>
        <v>0</v>
      </c>
      <c r="CR31">
        <f t="shared" si="21"/>
        <v>0</v>
      </c>
      <c r="CS31">
        <f t="shared" si="22"/>
        <v>0</v>
      </c>
      <c r="CT31">
        <f t="shared" si="23"/>
        <v>74.036</v>
      </c>
      <c r="CU31">
        <f t="shared" si="24"/>
        <v>0</v>
      </c>
      <c r="CV31">
        <f t="shared" si="25"/>
        <v>0</v>
      </c>
      <c r="CW31">
        <f t="shared" si="26"/>
        <v>0</v>
      </c>
      <c r="CX31">
        <f t="shared" si="27"/>
        <v>0</v>
      </c>
      <c r="CY31">
        <f t="shared" si="28"/>
        <v>94.3925</v>
      </c>
      <c r="CZ31">
        <f t="shared" si="29"/>
        <v>53.303999999999995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39</v>
      </c>
      <c r="DW31" t="s">
        <v>39</v>
      </c>
      <c r="DX31">
        <v>1000</v>
      </c>
      <c r="EE31">
        <v>26519138</v>
      </c>
      <c r="EF31">
        <v>1</v>
      </c>
      <c r="EG31" t="s">
        <v>40</v>
      </c>
      <c r="EH31">
        <v>0</v>
      </c>
      <c r="EJ31">
        <v>4</v>
      </c>
      <c r="EK31">
        <v>0</v>
      </c>
      <c r="EL31" t="s">
        <v>40</v>
      </c>
      <c r="EM31" t="s">
        <v>41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4.15</v>
      </c>
      <c r="EW31">
        <v>0</v>
      </c>
      <c r="EX31">
        <v>0</v>
      </c>
      <c r="EY31">
        <v>0</v>
      </c>
      <c r="EZ31">
        <v>0</v>
      </c>
      <c r="FQ31">
        <v>0</v>
      </c>
      <c r="FR31">
        <f t="shared" si="30"/>
        <v>0</v>
      </c>
      <c r="FS31">
        <v>0</v>
      </c>
      <c r="FV31" t="s">
        <v>26</v>
      </c>
      <c r="FW31" t="s">
        <v>27</v>
      </c>
      <c r="FX31">
        <v>100</v>
      </c>
      <c r="FY31">
        <v>60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1</v>
      </c>
    </row>
    <row r="32" spans="1:193" ht="12.75">
      <c r="A32">
        <v>17</v>
      </c>
      <c r="B32">
        <v>1</v>
      </c>
      <c r="E32" t="s">
        <v>42</v>
      </c>
      <c r="F32" t="s">
        <v>37</v>
      </c>
      <c r="G32" t="s">
        <v>43</v>
      </c>
      <c r="H32" t="s">
        <v>39</v>
      </c>
      <c r="I32">
        <v>1.5</v>
      </c>
      <c r="J32">
        <v>0</v>
      </c>
      <c r="O32">
        <f t="shared" si="3"/>
        <v>116.75</v>
      </c>
      <c r="P32">
        <f t="shared" si="4"/>
        <v>0</v>
      </c>
      <c r="Q32">
        <f t="shared" si="5"/>
        <v>116.75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3"/>
        <v>0</v>
      </c>
      <c r="AA32">
        <v>0</v>
      </c>
      <c r="AB32">
        <f t="shared" si="14"/>
        <v>14.63</v>
      </c>
      <c r="AC32">
        <f t="shared" si="15"/>
        <v>0</v>
      </c>
      <c r="AD32">
        <f t="shared" si="15"/>
        <v>14.63</v>
      </c>
      <c r="AE32">
        <f t="shared" si="15"/>
        <v>0</v>
      </c>
      <c r="AF32">
        <f t="shared" si="15"/>
        <v>0</v>
      </c>
      <c r="AG32">
        <f t="shared" si="16"/>
        <v>0</v>
      </c>
      <c r="AH32">
        <f t="shared" si="17"/>
        <v>0</v>
      </c>
      <c r="AI32">
        <f t="shared" si="17"/>
        <v>0</v>
      </c>
      <c r="AJ32">
        <f t="shared" si="18"/>
        <v>0</v>
      </c>
      <c r="AK32">
        <v>14.63</v>
      </c>
      <c r="AL32">
        <v>0</v>
      </c>
      <c r="AM32">
        <v>14.63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5.32</v>
      </c>
      <c r="BC32">
        <v>1</v>
      </c>
      <c r="BH32">
        <v>3</v>
      </c>
      <c r="BI32">
        <v>4</v>
      </c>
      <c r="BM32">
        <v>0</v>
      </c>
      <c r="BN32">
        <v>0</v>
      </c>
      <c r="BP32">
        <v>0</v>
      </c>
      <c r="BQ32">
        <v>1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19"/>
        <v>116.75</v>
      </c>
      <c r="CQ32">
        <f t="shared" si="20"/>
        <v>0</v>
      </c>
      <c r="CR32">
        <f t="shared" si="21"/>
        <v>77.83160000000001</v>
      </c>
      <c r="CS32">
        <f t="shared" si="22"/>
        <v>0</v>
      </c>
      <c r="CT32">
        <f t="shared" si="23"/>
        <v>0</v>
      </c>
      <c r="CU32">
        <f t="shared" si="24"/>
        <v>0</v>
      </c>
      <c r="CV32">
        <f t="shared" si="25"/>
        <v>0</v>
      </c>
      <c r="CW32">
        <f t="shared" si="26"/>
        <v>0</v>
      </c>
      <c r="CX32">
        <f t="shared" si="27"/>
        <v>0</v>
      </c>
      <c r="CY32">
        <f t="shared" si="28"/>
        <v>0</v>
      </c>
      <c r="CZ32">
        <f t="shared" si="29"/>
        <v>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1009</v>
      </c>
      <c r="DV32" t="s">
        <v>39</v>
      </c>
      <c r="DW32" t="s">
        <v>39</v>
      </c>
      <c r="DX32">
        <v>1000</v>
      </c>
      <c r="EE32">
        <v>26519138</v>
      </c>
      <c r="EF32">
        <v>1</v>
      </c>
      <c r="EG32" t="s">
        <v>40</v>
      </c>
      <c r="EH32">
        <v>0</v>
      </c>
      <c r="EJ32">
        <v>4</v>
      </c>
      <c r="EK32">
        <v>0</v>
      </c>
      <c r="EL32" t="s">
        <v>40</v>
      </c>
      <c r="EM32" t="s">
        <v>41</v>
      </c>
      <c r="EQ32">
        <v>0</v>
      </c>
      <c r="ER32">
        <v>0</v>
      </c>
      <c r="ES32">
        <v>0</v>
      </c>
      <c r="ET32">
        <v>14.63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Q32">
        <v>0</v>
      </c>
      <c r="FR32">
        <f t="shared" si="30"/>
        <v>0</v>
      </c>
      <c r="FS32">
        <v>0</v>
      </c>
      <c r="FV32" t="s">
        <v>26</v>
      </c>
      <c r="FW32" t="s">
        <v>27</v>
      </c>
      <c r="FX32">
        <v>0</v>
      </c>
      <c r="FY32">
        <v>0</v>
      </c>
      <c r="GA32">
        <v>14.63</v>
      </c>
      <c r="GB32">
        <v>0</v>
      </c>
      <c r="GC32">
        <v>14.63</v>
      </c>
      <c r="GD32">
        <v>0</v>
      </c>
      <c r="GE32">
        <v>0</v>
      </c>
      <c r="GF32">
        <v>14.63</v>
      </c>
      <c r="GG32">
        <v>0</v>
      </c>
      <c r="GH32">
        <v>14.63</v>
      </c>
      <c r="GI32">
        <v>0</v>
      </c>
      <c r="GJ32">
        <v>0</v>
      </c>
      <c r="GK32">
        <v>1</v>
      </c>
    </row>
    <row r="33" spans="1:193" ht="12.75">
      <c r="A33">
        <v>17</v>
      </c>
      <c r="B33">
        <v>1</v>
      </c>
      <c r="C33">
        <f>ROW(SmtRes!A10)</f>
        <v>10</v>
      </c>
      <c r="D33">
        <f>ROW(EtalonRes!A10)</f>
        <v>10</v>
      </c>
      <c r="E33" t="s">
        <v>44</v>
      </c>
      <c r="F33" t="s">
        <v>45</v>
      </c>
      <c r="G33" t="s">
        <v>46</v>
      </c>
      <c r="H33" t="s">
        <v>47</v>
      </c>
      <c r="I33">
        <v>199</v>
      </c>
      <c r="J33">
        <v>0</v>
      </c>
      <c r="O33">
        <f t="shared" si="3"/>
        <v>6816.31</v>
      </c>
      <c r="P33">
        <f t="shared" si="4"/>
        <v>0</v>
      </c>
      <c r="Q33">
        <f t="shared" si="5"/>
        <v>0</v>
      </c>
      <c r="R33">
        <f t="shared" si="6"/>
        <v>0</v>
      </c>
      <c r="S33">
        <f t="shared" si="7"/>
        <v>6816.31</v>
      </c>
      <c r="T33">
        <f t="shared" si="8"/>
        <v>0</v>
      </c>
      <c r="U33">
        <f t="shared" si="9"/>
        <v>49.75</v>
      </c>
      <c r="V33">
        <f t="shared" si="10"/>
        <v>0</v>
      </c>
      <c r="W33">
        <f t="shared" si="11"/>
        <v>0</v>
      </c>
      <c r="X33">
        <f t="shared" si="12"/>
        <v>5998.35</v>
      </c>
      <c r="Y33">
        <f t="shared" si="13"/>
        <v>3271.83</v>
      </c>
      <c r="AA33">
        <v>0</v>
      </c>
      <c r="AB33">
        <f t="shared" si="14"/>
        <v>1.92</v>
      </c>
      <c r="AC33">
        <f t="shared" si="15"/>
        <v>0</v>
      </c>
      <c r="AD33">
        <f t="shared" si="15"/>
        <v>0</v>
      </c>
      <c r="AE33">
        <f t="shared" si="15"/>
        <v>0</v>
      </c>
      <c r="AF33">
        <f t="shared" si="15"/>
        <v>1.92</v>
      </c>
      <c r="AG33">
        <f t="shared" si="16"/>
        <v>0</v>
      </c>
      <c r="AH33">
        <f t="shared" si="17"/>
        <v>0.25</v>
      </c>
      <c r="AI33">
        <f t="shared" si="17"/>
        <v>0</v>
      </c>
      <c r="AJ33">
        <f t="shared" si="18"/>
        <v>0</v>
      </c>
      <c r="AK33">
        <v>1.92</v>
      </c>
      <c r="AL33">
        <v>0</v>
      </c>
      <c r="AM33">
        <v>0</v>
      </c>
      <c r="AN33">
        <v>0</v>
      </c>
      <c r="AO33">
        <v>1.92</v>
      </c>
      <c r="AP33">
        <v>0</v>
      </c>
      <c r="AQ33">
        <v>0.25</v>
      </c>
      <c r="AR33">
        <v>0</v>
      </c>
      <c r="AS33">
        <v>0</v>
      </c>
      <c r="AT33">
        <v>88</v>
      </c>
      <c r="AU33">
        <v>48</v>
      </c>
      <c r="AV33">
        <v>1</v>
      </c>
      <c r="AW33">
        <v>1</v>
      </c>
      <c r="AX33">
        <v>1</v>
      </c>
      <c r="AY33">
        <v>1</v>
      </c>
      <c r="AZ33">
        <v>15.95</v>
      </c>
      <c r="BA33">
        <v>17.84</v>
      </c>
      <c r="BB33">
        <v>1</v>
      </c>
      <c r="BC33">
        <v>1</v>
      </c>
      <c r="BH33">
        <v>0</v>
      </c>
      <c r="BI33">
        <v>1</v>
      </c>
      <c r="BJ33" t="s">
        <v>48</v>
      </c>
      <c r="BM33">
        <v>68001</v>
      </c>
      <c r="BN33">
        <v>0</v>
      </c>
      <c r="BO33" t="s">
        <v>45</v>
      </c>
      <c r="BP33">
        <v>1</v>
      </c>
      <c r="BQ33">
        <v>6</v>
      </c>
      <c r="BR33">
        <v>0</v>
      </c>
      <c r="BS33">
        <v>17.84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104</v>
      </c>
      <c r="CA33">
        <v>60</v>
      </c>
      <c r="CF33">
        <v>0</v>
      </c>
      <c r="CG33">
        <v>0</v>
      </c>
      <c r="CM33">
        <v>0</v>
      </c>
      <c r="CO33">
        <v>0</v>
      </c>
      <c r="CP33">
        <f t="shared" si="19"/>
        <v>6816.31</v>
      </c>
      <c r="CQ33">
        <f t="shared" si="20"/>
        <v>0</v>
      </c>
      <c r="CR33">
        <f t="shared" si="21"/>
        <v>0</v>
      </c>
      <c r="CS33">
        <f t="shared" si="22"/>
        <v>0</v>
      </c>
      <c r="CT33">
        <f t="shared" si="23"/>
        <v>34.2528</v>
      </c>
      <c r="CU33">
        <f t="shared" si="24"/>
        <v>0</v>
      </c>
      <c r="CV33">
        <f t="shared" si="25"/>
        <v>0.25</v>
      </c>
      <c r="CW33">
        <f t="shared" si="26"/>
        <v>0</v>
      </c>
      <c r="CX33">
        <f t="shared" si="27"/>
        <v>0</v>
      </c>
      <c r="CY33">
        <f t="shared" si="28"/>
        <v>5998.352800000001</v>
      </c>
      <c r="CZ33">
        <f t="shared" si="29"/>
        <v>3271.8288000000002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1003</v>
      </c>
      <c r="DV33" t="s">
        <v>47</v>
      </c>
      <c r="DW33" t="s">
        <v>49</v>
      </c>
      <c r="DX33">
        <v>1</v>
      </c>
      <c r="EE33">
        <v>26519323</v>
      </c>
      <c r="EF33">
        <v>6</v>
      </c>
      <c r="EG33" t="s">
        <v>23</v>
      </c>
      <c r="EH33">
        <v>0</v>
      </c>
      <c r="EJ33">
        <v>1</v>
      </c>
      <c r="EK33">
        <v>68001</v>
      </c>
      <c r="EL33" t="s">
        <v>24</v>
      </c>
      <c r="EM33" t="s">
        <v>25</v>
      </c>
      <c r="EQ33">
        <v>0</v>
      </c>
      <c r="ER33">
        <v>1.92</v>
      </c>
      <c r="ES33">
        <v>0</v>
      </c>
      <c r="ET33">
        <v>0</v>
      </c>
      <c r="EU33">
        <v>0</v>
      </c>
      <c r="EV33">
        <v>1.92</v>
      </c>
      <c r="EW33">
        <v>0.25</v>
      </c>
      <c r="EX33">
        <v>0</v>
      </c>
      <c r="EY33">
        <v>0</v>
      </c>
      <c r="EZ33">
        <v>0</v>
      </c>
      <c r="FQ33">
        <v>0</v>
      </c>
      <c r="FR33">
        <f t="shared" si="30"/>
        <v>0</v>
      </c>
      <c r="FS33">
        <v>0</v>
      </c>
      <c r="FV33" t="s">
        <v>26</v>
      </c>
      <c r="FW33" t="s">
        <v>27</v>
      </c>
      <c r="FX33">
        <v>104</v>
      </c>
      <c r="FY33">
        <v>60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</row>
    <row r="34" spans="1:193" ht="12.75">
      <c r="A34">
        <v>17</v>
      </c>
      <c r="B34">
        <v>1</v>
      </c>
      <c r="C34">
        <f>ROW(SmtRes!A22)</f>
        <v>22</v>
      </c>
      <c r="D34">
        <f>ROW(EtalonRes!A22)</f>
        <v>22</v>
      </c>
      <c r="E34" t="s">
        <v>50</v>
      </c>
      <c r="F34" t="s">
        <v>51</v>
      </c>
      <c r="G34" t="s">
        <v>52</v>
      </c>
      <c r="H34" t="s">
        <v>53</v>
      </c>
      <c r="I34">
        <v>0.08</v>
      </c>
      <c r="J34">
        <v>0</v>
      </c>
      <c r="O34">
        <f t="shared" si="3"/>
        <v>8826.65</v>
      </c>
      <c r="P34">
        <f t="shared" si="4"/>
        <v>0</v>
      </c>
      <c r="Q34">
        <f t="shared" si="5"/>
        <v>4877.99</v>
      </c>
      <c r="R34">
        <f t="shared" si="6"/>
        <v>1378.84</v>
      </c>
      <c r="S34">
        <f t="shared" si="7"/>
        <v>3948.66</v>
      </c>
      <c r="T34">
        <f t="shared" si="8"/>
        <v>0</v>
      </c>
      <c r="U34">
        <f t="shared" si="9"/>
        <v>24.1108</v>
      </c>
      <c r="V34">
        <f t="shared" si="10"/>
        <v>5.76352</v>
      </c>
      <c r="W34">
        <f t="shared" si="11"/>
        <v>0</v>
      </c>
      <c r="X34">
        <f t="shared" si="12"/>
        <v>5913.53</v>
      </c>
      <c r="Y34">
        <f t="shared" si="13"/>
        <v>3622.7</v>
      </c>
      <c r="AA34">
        <v>0</v>
      </c>
      <c r="AB34">
        <f t="shared" si="14"/>
        <v>11235.448</v>
      </c>
      <c r="AC34">
        <f>((ES34*0))</f>
        <v>0</v>
      </c>
      <c r="AD34">
        <f>((ET34*0.7))</f>
        <v>8468.733</v>
      </c>
      <c r="AE34">
        <f>((EU34*0.7))</f>
        <v>966.112</v>
      </c>
      <c r="AF34">
        <f>((EV34*0.7))</f>
        <v>2766.7149999999997</v>
      </c>
      <c r="AG34">
        <f t="shared" si="16"/>
        <v>0</v>
      </c>
      <c r="AH34">
        <f>((EW34*0.7))</f>
        <v>301.385</v>
      </c>
      <c r="AI34">
        <f>((EX34*0.7))</f>
        <v>72.044</v>
      </c>
      <c r="AJ34">
        <f t="shared" si="18"/>
        <v>0</v>
      </c>
      <c r="AK34">
        <v>17168.37</v>
      </c>
      <c r="AL34">
        <v>1117.73</v>
      </c>
      <c r="AM34">
        <v>12098.19</v>
      </c>
      <c r="AN34">
        <v>1380.16</v>
      </c>
      <c r="AO34">
        <v>3952.45</v>
      </c>
      <c r="AP34">
        <v>0</v>
      </c>
      <c r="AQ34">
        <v>430.55</v>
      </c>
      <c r="AR34">
        <v>102.92</v>
      </c>
      <c r="AS34">
        <v>0</v>
      </c>
      <c r="AT34">
        <v>111</v>
      </c>
      <c r="AU34">
        <v>68</v>
      </c>
      <c r="AV34">
        <v>1</v>
      </c>
      <c r="AW34">
        <v>1</v>
      </c>
      <c r="AX34">
        <v>1</v>
      </c>
      <c r="AY34">
        <v>1</v>
      </c>
      <c r="AZ34">
        <v>11.8</v>
      </c>
      <c r="BA34">
        <v>17.84</v>
      </c>
      <c r="BB34">
        <v>7.2</v>
      </c>
      <c r="BC34">
        <v>8.98</v>
      </c>
      <c r="BH34">
        <v>0</v>
      </c>
      <c r="BI34">
        <v>1</v>
      </c>
      <c r="BJ34" t="s">
        <v>54</v>
      </c>
      <c r="BM34">
        <v>7001</v>
      </c>
      <c r="BN34">
        <v>0</v>
      </c>
      <c r="BO34" t="s">
        <v>51</v>
      </c>
      <c r="BP34">
        <v>1</v>
      </c>
      <c r="BQ34">
        <v>2</v>
      </c>
      <c r="BR34">
        <v>0</v>
      </c>
      <c r="BS34">
        <v>17.84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130</v>
      </c>
      <c r="CA34">
        <v>85</v>
      </c>
      <c r="CF34">
        <v>0</v>
      </c>
      <c r="CG34">
        <v>0</v>
      </c>
      <c r="CM34">
        <v>0</v>
      </c>
      <c r="CN34" t="s">
        <v>55</v>
      </c>
      <c r="CO34">
        <v>0</v>
      </c>
      <c r="CP34">
        <f t="shared" si="19"/>
        <v>8826.65</v>
      </c>
      <c r="CQ34">
        <f t="shared" si="20"/>
        <v>0</v>
      </c>
      <c r="CR34">
        <f t="shared" si="21"/>
        <v>60974.8776</v>
      </c>
      <c r="CS34">
        <f t="shared" si="22"/>
        <v>17235.43808</v>
      </c>
      <c r="CT34">
        <f t="shared" si="23"/>
        <v>49358.19559999999</v>
      </c>
      <c r="CU34">
        <f t="shared" si="24"/>
        <v>0</v>
      </c>
      <c r="CV34">
        <f t="shared" si="25"/>
        <v>301.385</v>
      </c>
      <c r="CW34">
        <f t="shared" si="26"/>
        <v>72.044</v>
      </c>
      <c r="CX34">
        <f t="shared" si="27"/>
        <v>0</v>
      </c>
      <c r="CY34">
        <f t="shared" si="28"/>
        <v>5913.525000000001</v>
      </c>
      <c r="CZ34">
        <f t="shared" si="29"/>
        <v>3622.7000000000003</v>
      </c>
      <c r="DD34" t="s">
        <v>56</v>
      </c>
      <c r="DE34" t="s">
        <v>57</v>
      </c>
      <c r="DF34" t="s">
        <v>57</v>
      </c>
      <c r="DG34" t="s">
        <v>57</v>
      </c>
      <c r="DI34" t="s">
        <v>57</v>
      </c>
      <c r="DJ34" t="s">
        <v>57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53</v>
      </c>
      <c r="DW34" t="s">
        <v>53</v>
      </c>
      <c r="DX34">
        <v>100</v>
      </c>
      <c r="EE34">
        <v>26519187</v>
      </c>
      <c r="EF34">
        <v>2</v>
      </c>
      <c r="EG34" t="s">
        <v>58</v>
      </c>
      <c r="EH34">
        <v>0</v>
      </c>
      <c r="EJ34">
        <v>1</v>
      </c>
      <c r="EK34">
        <v>7001</v>
      </c>
      <c r="EL34" t="s">
        <v>59</v>
      </c>
      <c r="EM34" t="s">
        <v>60</v>
      </c>
      <c r="EO34" t="s">
        <v>61</v>
      </c>
      <c r="EQ34">
        <v>0</v>
      </c>
      <c r="ER34">
        <v>17168.37</v>
      </c>
      <c r="ES34">
        <v>1117.73</v>
      </c>
      <c r="ET34">
        <v>12098.19</v>
      </c>
      <c r="EU34">
        <v>1380.16</v>
      </c>
      <c r="EV34">
        <v>3952.45</v>
      </c>
      <c r="EW34">
        <v>430.55</v>
      </c>
      <c r="EX34">
        <v>102.92</v>
      </c>
      <c r="EY34">
        <v>0</v>
      </c>
      <c r="EZ34">
        <v>0</v>
      </c>
      <c r="FQ34">
        <v>0</v>
      </c>
      <c r="FR34">
        <f t="shared" si="30"/>
        <v>0</v>
      </c>
      <c r="FS34">
        <v>0</v>
      </c>
      <c r="FV34" t="s">
        <v>26</v>
      </c>
      <c r="FW34" t="s">
        <v>27</v>
      </c>
      <c r="FX34">
        <v>130</v>
      </c>
      <c r="FY34">
        <v>85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</row>
    <row r="35" spans="1:193" ht="12.75">
      <c r="A35">
        <v>17</v>
      </c>
      <c r="B35">
        <v>1</v>
      </c>
      <c r="C35">
        <f>ROW(SmtRes!A25)</f>
        <v>25</v>
      </c>
      <c r="D35">
        <f>ROW(EtalonRes!A25)</f>
        <v>25</v>
      </c>
      <c r="E35" t="s">
        <v>62</v>
      </c>
      <c r="F35" t="s">
        <v>63</v>
      </c>
      <c r="G35" t="s">
        <v>64</v>
      </c>
      <c r="H35" t="s">
        <v>65</v>
      </c>
      <c r="I35">
        <v>35</v>
      </c>
      <c r="J35">
        <v>0</v>
      </c>
      <c r="O35">
        <f t="shared" si="3"/>
        <v>7361.92</v>
      </c>
      <c r="P35">
        <f t="shared" si="4"/>
        <v>0</v>
      </c>
      <c r="Q35">
        <f t="shared" si="5"/>
        <v>2547.8</v>
      </c>
      <c r="R35">
        <f t="shared" si="6"/>
        <v>0</v>
      </c>
      <c r="S35">
        <f t="shared" si="7"/>
        <v>4814.12</v>
      </c>
      <c r="T35">
        <f t="shared" si="8"/>
        <v>0</v>
      </c>
      <c r="U35">
        <f t="shared" si="9"/>
        <v>34.3</v>
      </c>
      <c r="V35">
        <f t="shared" si="10"/>
        <v>0</v>
      </c>
      <c r="W35">
        <f t="shared" si="11"/>
        <v>0</v>
      </c>
      <c r="X35">
        <f t="shared" si="12"/>
        <v>4236.43</v>
      </c>
      <c r="Y35">
        <f t="shared" si="13"/>
        <v>2310.78</v>
      </c>
      <c r="AA35">
        <v>0</v>
      </c>
      <c r="AB35">
        <f t="shared" si="14"/>
        <v>20.09</v>
      </c>
      <c r="AC35">
        <f aca="true" t="shared" si="31" ref="AC35:AF39">(ES35)</f>
        <v>0</v>
      </c>
      <c r="AD35">
        <f t="shared" si="31"/>
        <v>12.38</v>
      </c>
      <c r="AE35">
        <f t="shared" si="31"/>
        <v>0</v>
      </c>
      <c r="AF35">
        <f t="shared" si="31"/>
        <v>7.71</v>
      </c>
      <c r="AG35">
        <f t="shared" si="16"/>
        <v>0</v>
      </c>
      <c r="AH35">
        <f aca="true" t="shared" si="32" ref="AH35:AI39">(EW35)</f>
        <v>0.98</v>
      </c>
      <c r="AI35">
        <f t="shared" si="32"/>
        <v>0</v>
      </c>
      <c r="AJ35">
        <f t="shared" si="18"/>
        <v>0</v>
      </c>
      <c r="AK35">
        <v>20.09</v>
      </c>
      <c r="AL35">
        <v>0</v>
      </c>
      <c r="AM35">
        <v>12.38</v>
      </c>
      <c r="AN35">
        <v>0</v>
      </c>
      <c r="AO35">
        <v>7.71</v>
      </c>
      <c r="AP35">
        <v>0</v>
      </c>
      <c r="AQ35">
        <v>0.98</v>
      </c>
      <c r="AR35">
        <v>0</v>
      </c>
      <c r="AS35">
        <v>0</v>
      </c>
      <c r="AT35">
        <v>88</v>
      </c>
      <c r="AU35">
        <v>48</v>
      </c>
      <c r="AV35">
        <v>1</v>
      </c>
      <c r="AW35">
        <v>1</v>
      </c>
      <c r="AX35">
        <v>1</v>
      </c>
      <c r="AY35">
        <v>1</v>
      </c>
      <c r="AZ35">
        <v>12.14</v>
      </c>
      <c r="BA35">
        <v>17.84</v>
      </c>
      <c r="BB35">
        <v>5.88</v>
      </c>
      <c r="BC35">
        <v>1</v>
      </c>
      <c r="BH35">
        <v>0</v>
      </c>
      <c r="BI35">
        <v>1</v>
      </c>
      <c r="BJ35" t="s">
        <v>66</v>
      </c>
      <c r="BM35">
        <v>68001</v>
      </c>
      <c r="BN35">
        <v>0</v>
      </c>
      <c r="BO35" t="s">
        <v>63</v>
      </c>
      <c r="BP35">
        <v>1</v>
      </c>
      <c r="BQ35">
        <v>6</v>
      </c>
      <c r="BR35">
        <v>0</v>
      </c>
      <c r="BS35">
        <v>17.84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104</v>
      </c>
      <c r="CA35">
        <v>60</v>
      </c>
      <c r="CF35">
        <v>0</v>
      </c>
      <c r="CG35">
        <v>0</v>
      </c>
      <c r="CM35">
        <v>0</v>
      </c>
      <c r="CO35">
        <v>0</v>
      </c>
      <c r="CP35">
        <f t="shared" si="19"/>
        <v>7361.92</v>
      </c>
      <c r="CQ35">
        <f t="shared" si="20"/>
        <v>0</v>
      </c>
      <c r="CR35">
        <f t="shared" si="21"/>
        <v>72.79440000000001</v>
      </c>
      <c r="CS35">
        <f t="shared" si="22"/>
        <v>0</v>
      </c>
      <c r="CT35">
        <f t="shared" si="23"/>
        <v>137.5464</v>
      </c>
      <c r="CU35">
        <f t="shared" si="24"/>
        <v>0</v>
      </c>
      <c r="CV35">
        <f t="shared" si="25"/>
        <v>0.98</v>
      </c>
      <c r="CW35">
        <f t="shared" si="26"/>
        <v>0</v>
      </c>
      <c r="CX35">
        <f t="shared" si="27"/>
        <v>0</v>
      </c>
      <c r="CY35">
        <f t="shared" si="28"/>
        <v>4236.4256</v>
      </c>
      <c r="CZ35">
        <f t="shared" si="29"/>
        <v>2310.7776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1005</v>
      </c>
      <c r="DV35" t="s">
        <v>65</v>
      </c>
      <c r="DW35" t="s">
        <v>67</v>
      </c>
      <c r="DX35">
        <v>100</v>
      </c>
      <c r="EE35">
        <v>26519323</v>
      </c>
      <c r="EF35">
        <v>6</v>
      </c>
      <c r="EG35" t="s">
        <v>23</v>
      </c>
      <c r="EH35">
        <v>0</v>
      </c>
      <c r="EJ35">
        <v>1</v>
      </c>
      <c r="EK35">
        <v>68001</v>
      </c>
      <c r="EL35" t="s">
        <v>24</v>
      </c>
      <c r="EM35" t="s">
        <v>25</v>
      </c>
      <c r="EQ35">
        <v>0</v>
      </c>
      <c r="ER35">
        <v>20.09</v>
      </c>
      <c r="ES35">
        <v>0</v>
      </c>
      <c r="ET35">
        <v>12.38</v>
      </c>
      <c r="EU35">
        <v>0</v>
      </c>
      <c r="EV35">
        <v>7.71</v>
      </c>
      <c r="EW35">
        <v>0.98</v>
      </c>
      <c r="EX35">
        <v>0</v>
      </c>
      <c r="EY35">
        <v>0</v>
      </c>
      <c r="EZ35">
        <v>0</v>
      </c>
      <c r="FQ35">
        <v>0</v>
      </c>
      <c r="FR35">
        <f t="shared" si="30"/>
        <v>0</v>
      </c>
      <c r="FS35">
        <v>0</v>
      </c>
      <c r="FV35" t="s">
        <v>26</v>
      </c>
      <c r="FW35" t="s">
        <v>27</v>
      </c>
      <c r="FX35">
        <v>104</v>
      </c>
      <c r="FY35">
        <v>60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</row>
    <row r="36" spans="1:193" ht="12.75">
      <c r="A36">
        <v>17</v>
      </c>
      <c r="B36">
        <v>1</v>
      </c>
      <c r="C36">
        <f>ROW(SmtRes!A27)</f>
        <v>27</v>
      </c>
      <c r="D36">
        <f>ROW(EtalonRes!A27)</f>
        <v>27</v>
      </c>
      <c r="E36" t="s">
        <v>68</v>
      </c>
      <c r="F36" t="s">
        <v>69</v>
      </c>
      <c r="G36" t="s">
        <v>70</v>
      </c>
      <c r="H36" t="s">
        <v>71</v>
      </c>
      <c r="I36">
        <v>0.019</v>
      </c>
      <c r="J36">
        <v>0</v>
      </c>
      <c r="O36">
        <f t="shared" si="3"/>
        <v>162.22</v>
      </c>
      <c r="P36">
        <f t="shared" si="4"/>
        <v>0</v>
      </c>
      <c r="Q36">
        <f t="shared" si="5"/>
        <v>162.22</v>
      </c>
      <c r="R36">
        <f t="shared" si="6"/>
        <v>57.89</v>
      </c>
      <c r="S36">
        <f t="shared" si="7"/>
        <v>0</v>
      </c>
      <c r="T36">
        <f t="shared" si="8"/>
        <v>0</v>
      </c>
      <c r="U36">
        <f t="shared" si="9"/>
        <v>0</v>
      </c>
      <c r="V36">
        <f t="shared" si="10"/>
        <v>0.24035</v>
      </c>
      <c r="W36">
        <f t="shared" si="11"/>
        <v>0</v>
      </c>
      <c r="X36">
        <f t="shared" si="12"/>
        <v>46.89</v>
      </c>
      <c r="Y36">
        <f t="shared" si="13"/>
        <v>23.16</v>
      </c>
      <c r="AA36">
        <v>0</v>
      </c>
      <c r="AB36">
        <f t="shared" si="14"/>
        <v>775.45</v>
      </c>
      <c r="AC36">
        <f t="shared" si="31"/>
        <v>0</v>
      </c>
      <c r="AD36">
        <f t="shared" si="31"/>
        <v>775.45</v>
      </c>
      <c r="AE36">
        <f t="shared" si="31"/>
        <v>170.78</v>
      </c>
      <c r="AF36">
        <f t="shared" si="31"/>
        <v>0</v>
      </c>
      <c r="AG36">
        <f t="shared" si="16"/>
        <v>0</v>
      </c>
      <c r="AH36">
        <f t="shared" si="32"/>
        <v>0</v>
      </c>
      <c r="AI36">
        <f t="shared" si="32"/>
        <v>12.65</v>
      </c>
      <c r="AJ36">
        <f t="shared" si="18"/>
        <v>0</v>
      </c>
      <c r="AK36">
        <v>775.45</v>
      </c>
      <c r="AL36">
        <v>0</v>
      </c>
      <c r="AM36">
        <v>775.45</v>
      </c>
      <c r="AN36">
        <v>170.78</v>
      </c>
      <c r="AO36">
        <v>0</v>
      </c>
      <c r="AP36">
        <v>0</v>
      </c>
      <c r="AQ36">
        <v>0</v>
      </c>
      <c r="AR36">
        <v>12.65</v>
      </c>
      <c r="AS36">
        <v>0</v>
      </c>
      <c r="AT36">
        <v>81</v>
      </c>
      <c r="AU36">
        <v>40</v>
      </c>
      <c r="AV36">
        <v>1</v>
      </c>
      <c r="AW36">
        <v>1</v>
      </c>
      <c r="AX36">
        <v>1</v>
      </c>
      <c r="AY36">
        <v>1</v>
      </c>
      <c r="AZ36">
        <v>11.95</v>
      </c>
      <c r="BA36">
        <v>17.84</v>
      </c>
      <c r="BB36">
        <v>11.01</v>
      </c>
      <c r="BC36">
        <v>1</v>
      </c>
      <c r="BH36">
        <v>0</v>
      </c>
      <c r="BI36">
        <v>1</v>
      </c>
      <c r="BJ36" t="s">
        <v>72</v>
      </c>
      <c r="BM36">
        <v>1001</v>
      </c>
      <c r="BN36">
        <v>0</v>
      </c>
      <c r="BO36" t="s">
        <v>69</v>
      </c>
      <c r="BP36">
        <v>1</v>
      </c>
      <c r="BQ36">
        <v>2</v>
      </c>
      <c r="BR36">
        <v>0</v>
      </c>
      <c r="BS36">
        <v>17.84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95</v>
      </c>
      <c r="CA36">
        <v>50</v>
      </c>
      <c r="CF36">
        <v>0</v>
      </c>
      <c r="CG36">
        <v>0</v>
      </c>
      <c r="CM36">
        <v>0</v>
      </c>
      <c r="CO36">
        <v>0</v>
      </c>
      <c r="CP36">
        <f t="shared" si="19"/>
        <v>162.22</v>
      </c>
      <c r="CQ36">
        <f t="shared" si="20"/>
        <v>0</v>
      </c>
      <c r="CR36">
        <f t="shared" si="21"/>
        <v>8537.7045</v>
      </c>
      <c r="CS36">
        <f t="shared" si="22"/>
        <v>3046.7152</v>
      </c>
      <c r="CT36">
        <f t="shared" si="23"/>
        <v>0</v>
      </c>
      <c r="CU36">
        <f t="shared" si="24"/>
        <v>0</v>
      </c>
      <c r="CV36">
        <f t="shared" si="25"/>
        <v>0</v>
      </c>
      <c r="CW36">
        <f t="shared" si="26"/>
        <v>12.65</v>
      </c>
      <c r="CX36">
        <f t="shared" si="27"/>
        <v>0</v>
      </c>
      <c r="CY36">
        <f t="shared" si="28"/>
        <v>46.8909</v>
      </c>
      <c r="CZ36">
        <f t="shared" si="29"/>
        <v>23.156000000000002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1007</v>
      </c>
      <c r="DV36" t="s">
        <v>71</v>
      </c>
      <c r="DW36" t="s">
        <v>73</v>
      </c>
      <c r="DX36">
        <v>1000</v>
      </c>
      <c r="EE36">
        <v>26519171</v>
      </c>
      <c r="EF36">
        <v>2</v>
      </c>
      <c r="EG36" t="s">
        <v>58</v>
      </c>
      <c r="EH36">
        <v>0</v>
      </c>
      <c r="EJ36">
        <v>1</v>
      </c>
      <c r="EK36">
        <v>1001</v>
      </c>
      <c r="EL36" t="s">
        <v>74</v>
      </c>
      <c r="EM36" t="s">
        <v>75</v>
      </c>
      <c r="EQ36">
        <v>0</v>
      </c>
      <c r="ER36">
        <v>775.45</v>
      </c>
      <c r="ES36">
        <v>0</v>
      </c>
      <c r="ET36">
        <v>775.45</v>
      </c>
      <c r="EU36">
        <v>170.78</v>
      </c>
      <c r="EV36">
        <v>0</v>
      </c>
      <c r="EW36">
        <v>0</v>
      </c>
      <c r="EX36">
        <v>12.65</v>
      </c>
      <c r="EY36">
        <v>0</v>
      </c>
      <c r="EZ36">
        <v>0</v>
      </c>
      <c r="FQ36">
        <v>0</v>
      </c>
      <c r="FR36">
        <f t="shared" si="30"/>
        <v>0</v>
      </c>
      <c r="FS36">
        <v>0</v>
      </c>
      <c r="FV36" t="s">
        <v>26</v>
      </c>
      <c r="FW36" t="s">
        <v>27</v>
      </c>
      <c r="FX36">
        <v>95</v>
      </c>
      <c r="FY36">
        <v>50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</row>
    <row r="37" spans="1:193" ht="12.75">
      <c r="A37">
        <v>17</v>
      </c>
      <c r="B37">
        <v>1</v>
      </c>
      <c r="C37">
        <f>ROW(SmtRes!A32)</f>
        <v>32</v>
      </c>
      <c r="D37">
        <f>ROW(EtalonRes!A32)</f>
        <v>32</v>
      </c>
      <c r="E37" t="s">
        <v>76</v>
      </c>
      <c r="F37" t="s">
        <v>77</v>
      </c>
      <c r="G37" t="s">
        <v>78</v>
      </c>
      <c r="H37" t="s">
        <v>71</v>
      </c>
      <c r="I37">
        <v>0.019</v>
      </c>
      <c r="J37">
        <v>0</v>
      </c>
      <c r="O37">
        <f t="shared" si="3"/>
        <v>623.38</v>
      </c>
      <c r="P37">
        <f t="shared" si="4"/>
        <v>0.98</v>
      </c>
      <c r="Q37">
        <f t="shared" si="5"/>
        <v>592.23</v>
      </c>
      <c r="R37">
        <f t="shared" si="6"/>
        <v>153.77</v>
      </c>
      <c r="S37">
        <f t="shared" si="7"/>
        <v>30.17</v>
      </c>
      <c r="T37">
        <f t="shared" si="8"/>
        <v>0</v>
      </c>
      <c r="U37">
        <f t="shared" si="9"/>
        <v>0.21679</v>
      </c>
      <c r="V37">
        <f t="shared" si="10"/>
        <v>0.6287100000000001</v>
      </c>
      <c r="W37">
        <f t="shared" si="11"/>
        <v>0</v>
      </c>
      <c r="X37">
        <f t="shared" si="12"/>
        <v>148.99</v>
      </c>
      <c r="Y37">
        <f t="shared" si="13"/>
        <v>73.58</v>
      </c>
      <c r="AA37">
        <v>0</v>
      </c>
      <c r="AB37">
        <f t="shared" si="14"/>
        <v>3894.54</v>
      </c>
      <c r="AC37">
        <f t="shared" si="31"/>
        <v>4.34</v>
      </c>
      <c r="AD37">
        <f t="shared" si="31"/>
        <v>3801.2</v>
      </c>
      <c r="AE37">
        <f t="shared" si="31"/>
        <v>453.66</v>
      </c>
      <c r="AF37">
        <f t="shared" si="31"/>
        <v>89</v>
      </c>
      <c r="AG37">
        <f t="shared" si="16"/>
        <v>0</v>
      </c>
      <c r="AH37">
        <f t="shared" si="32"/>
        <v>11.41</v>
      </c>
      <c r="AI37">
        <f t="shared" si="32"/>
        <v>33.09</v>
      </c>
      <c r="AJ37">
        <f t="shared" si="18"/>
        <v>0</v>
      </c>
      <c r="AK37">
        <v>3894.54</v>
      </c>
      <c r="AL37">
        <v>4.34</v>
      </c>
      <c r="AM37">
        <v>3801.2</v>
      </c>
      <c r="AN37">
        <v>453.66</v>
      </c>
      <c r="AO37">
        <v>89</v>
      </c>
      <c r="AP37">
        <v>0</v>
      </c>
      <c r="AQ37">
        <v>11.41</v>
      </c>
      <c r="AR37">
        <v>33.09</v>
      </c>
      <c r="AS37">
        <v>0</v>
      </c>
      <c r="AT37">
        <v>81</v>
      </c>
      <c r="AU37">
        <v>40</v>
      </c>
      <c r="AV37">
        <v>1</v>
      </c>
      <c r="AW37">
        <v>1</v>
      </c>
      <c r="AX37">
        <v>1</v>
      </c>
      <c r="AY37">
        <v>1</v>
      </c>
      <c r="AZ37">
        <v>9.51</v>
      </c>
      <c r="BA37">
        <v>17.84</v>
      </c>
      <c r="BB37">
        <v>8.2</v>
      </c>
      <c r="BC37">
        <v>11.93</v>
      </c>
      <c r="BH37">
        <v>0</v>
      </c>
      <c r="BI37">
        <v>1</v>
      </c>
      <c r="BJ37" t="s">
        <v>79</v>
      </c>
      <c r="BM37">
        <v>1001</v>
      </c>
      <c r="BN37">
        <v>0</v>
      </c>
      <c r="BO37" t="s">
        <v>77</v>
      </c>
      <c r="BP37">
        <v>1</v>
      </c>
      <c r="BQ37">
        <v>2</v>
      </c>
      <c r="BR37">
        <v>0</v>
      </c>
      <c r="BS37">
        <v>17.84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95</v>
      </c>
      <c r="CA37">
        <v>50</v>
      </c>
      <c r="CF37">
        <v>0</v>
      </c>
      <c r="CG37">
        <v>0</v>
      </c>
      <c r="CM37">
        <v>0</v>
      </c>
      <c r="CO37">
        <v>0</v>
      </c>
      <c r="CP37">
        <f t="shared" si="19"/>
        <v>623.38</v>
      </c>
      <c r="CQ37">
        <f t="shared" si="20"/>
        <v>51.776199999999996</v>
      </c>
      <c r="CR37">
        <f t="shared" si="21"/>
        <v>31169.839999999997</v>
      </c>
      <c r="CS37">
        <f t="shared" si="22"/>
        <v>8093.294400000001</v>
      </c>
      <c r="CT37">
        <f t="shared" si="23"/>
        <v>1587.76</v>
      </c>
      <c r="CU37">
        <f t="shared" si="24"/>
        <v>0</v>
      </c>
      <c r="CV37">
        <f t="shared" si="25"/>
        <v>11.41</v>
      </c>
      <c r="CW37">
        <f t="shared" si="26"/>
        <v>33.09</v>
      </c>
      <c r="CX37">
        <f t="shared" si="27"/>
        <v>0</v>
      </c>
      <c r="CY37">
        <f t="shared" si="28"/>
        <v>148.9914</v>
      </c>
      <c r="CZ37">
        <f t="shared" si="29"/>
        <v>73.57600000000001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1007</v>
      </c>
      <c r="DV37" t="s">
        <v>71</v>
      </c>
      <c r="DW37" t="s">
        <v>73</v>
      </c>
      <c r="DX37">
        <v>1000</v>
      </c>
      <c r="EE37">
        <v>26519171</v>
      </c>
      <c r="EF37">
        <v>2</v>
      </c>
      <c r="EG37" t="s">
        <v>58</v>
      </c>
      <c r="EH37">
        <v>0</v>
      </c>
      <c r="EJ37">
        <v>1</v>
      </c>
      <c r="EK37">
        <v>1001</v>
      </c>
      <c r="EL37" t="s">
        <v>74</v>
      </c>
      <c r="EM37" t="s">
        <v>75</v>
      </c>
      <c r="EQ37">
        <v>0</v>
      </c>
      <c r="ER37">
        <v>3894.54</v>
      </c>
      <c r="ES37">
        <v>4.34</v>
      </c>
      <c r="ET37">
        <v>3801.2</v>
      </c>
      <c r="EU37">
        <v>453.66</v>
      </c>
      <c r="EV37">
        <v>89</v>
      </c>
      <c r="EW37">
        <v>11.41</v>
      </c>
      <c r="EX37">
        <v>33.09</v>
      </c>
      <c r="EY37">
        <v>0</v>
      </c>
      <c r="EZ37">
        <v>0</v>
      </c>
      <c r="FQ37">
        <v>0</v>
      </c>
      <c r="FR37">
        <f t="shared" si="30"/>
        <v>0</v>
      </c>
      <c r="FS37">
        <v>0</v>
      </c>
      <c r="FV37" t="s">
        <v>26</v>
      </c>
      <c r="FW37" t="s">
        <v>27</v>
      </c>
      <c r="FX37">
        <v>95</v>
      </c>
      <c r="FY37">
        <v>50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</row>
    <row r="38" spans="1:193" ht="12.75">
      <c r="A38">
        <v>17</v>
      </c>
      <c r="B38">
        <v>1</v>
      </c>
      <c r="E38" t="s">
        <v>80</v>
      </c>
      <c r="F38" t="s">
        <v>37</v>
      </c>
      <c r="G38" t="s">
        <v>81</v>
      </c>
      <c r="H38" t="s">
        <v>39</v>
      </c>
      <c r="I38">
        <v>2.8</v>
      </c>
      <c r="J38">
        <v>0</v>
      </c>
      <c r="O38">
        <f t="shared" si="3"/>
        <v>217.93</v>
      </c>
      <c r="P38">
        <f t="shared" si="4"/>
        <v>0</v>
      </c>
      <c r="Q38">
        <f t="shared" si="5"/>
        <v>217.93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  <c r="V38">
        <f t="shared" si="10"/>
        <v>0</v>
      </c>
      <c r="W38">
        <f t="shared" si="11"/>
        <v>0</v>
      </c>
      <c r="X38">
        <f t="shared" si="12"/>
        <v>0</v>
      </c>
      <c r="Y38">
        <f t="shared" si="13"/>
        <v>0</v>
      </c>
      <c r="AA38">
        <v>0</v>
      </c>
      <c r="AB38">
        <f t="shared" si="14"/>
        <v>14.63</v>
      </c>
      <c r="AC38">
        <f t="shared" si="31"/>
        <v>0</v>
      </c>
      <c r="AD38">
        <f t="shared" si="31"/>
        <v>14.63</v>
      </c>
      <c r="AE38">
        <f t="shared" si="31"/>
        <v>0</v>
      </c>
      <c r="AF38">
        <f t="shared" si="31"/>
        <v>0</v>
      </c>
      <c r="AG38">
        <f t="shared" si="16"/>
        <v>0</v>
      </c>
      <c r="AH38">
        <f t="shared" si="32"/>
        <v>0</v>
      </c>
      <c r="AI38">
        <f t="shared" si="32"/>
        <v>0</v>
      </c>
      <c r="AJ38">
        <f t="shared" si="18"/>
        <v>0</v>
      </c>
      <c r="AK38">
        <v>14.63</v>
      </c>
      <c r="AL38">
        <v>0</v>
      </c>
      <c r="AM38">
        <v>14.63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5.32</v>
      </c>
      <c r="BC38">
        <v>1</v>
      </c>
      <c r="BH38">
        <v>3</v>
      </c>
      <c r="BI38">
        <v>4</v>
      </c>
      <c r="BM38">
        <v>0</v>
      </c>
      <c r="BN38">
        <v>0</v>
      </c>
      <c r="BP38">
        <v>0</v>
      </c>
      <c r="BQ38">
        <v>1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19"/>
        <v>217.93</v>
      </c>
      <c r="CQ38">
        <f t="shared" si="20"/>
        <v>0</v>
      </c>
      <c r="CR38">
        <f t="shared" si="21"/>
        <v>77.83160000000001</v>
      </c>
      <c r="CS38">
        <f t="shared" si="22"/>
        <v>0</v>
      </c>
      <c r="CT38">
        <f t="shared" si="23"/>
        <v>0</v>
      </c>
      <c r="CU38">
        <f t="shared" si="24"/>
        <v>0</v>
      </c>
      <c r="CV38">
        <f t="shared" si="25"/>
        <v>0</v>
      </c>
      <c r="CW38">
        <f t="shared" si="26"/>
        <v>0</v>
      </c>
      <c r="CX38">
        <f t="shared" si="27"/>
        <v>0</v>
      </c>
      <c r="CY38">
        <f t="shared" si="28"/>
        <v>0</v>
      </c>
      <c r="CZ38">
        <f t="shared" si="29"/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1009</v>
      </c>
      <c r="DV38" t="s">
        <v>39</v>
      </c>
      <c r="DW38" t="s">
        <v>39</v>
      </c>
      <c r="DX38">
        <v>1000</v>
      </c>
      <c r="EE38">
        <v>26519138</v>
      </c>
      <c r="EF38">
        <v>1</v>
      </c>
      <c r="EG38" t="s">
        <v>40</v>
      </c>
      <c r="EH38">
        <v>0</v>
      </c>
      <c r="EJ38">
        <v>4</v>
      </c>
      <c r="EK38">
        <v>0</v>
      </c>
      <c r="EL38" t="s">
        <v>40</v>
      </c>
      <c r="EM38" t="s">
        <v>41</v>
      </c>
      <c r="EQ38">
        <v>0</v>
      </c>
      <c r="ER38">
        <v>0</v>
      </c>
      <c r="ES38">
        <v>0</v>
      </c>
      <c r="ET38">
        <v>14.63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Q38">
        <v>0</v>
      </c>
      <c r="FR38">
        <f t="shared" si="30"/>
        <v>0</v>
      </c>
      <c r="FS38">
        <v>0</v>
      </c>
      <c r="FV38" t="s">
        <v>26</v>
      </c>
      <c r="FW38" t="s">
        <v>27</v>
      </c>
      <c r="FX38">
        <v>0</v>
      </c>
      <c r="FY38">
        <v>0</v>
      </c>
      <c r="GA38">
        <v>14.63</v>
      </c>
      <c r="GB38">
        <v>0</v>
      </c>
      <c r="GC38">
        <v>14.63</v>
      </c>
      <c r="GD38">
        <v>0</v>
      </c>
      <c r="GE38">
        <v>0</v>
      </c>
      <c r="GF38">
        <v>14.63</v>
      </c>
      <c r="GG38">
        <v>0</v>
      </c>
      <c r="GH38">
        <v>14.63</v>
      </c>
      <c r="GI38">
        <v>0</v>
      </c>
      <c r="GJ38">
        <v>0</v>
      </c>
      <c r="GK38">
        <v>1</v>
      </c>
    </row>
    <row r="39" spans="1:193" ht="12.75">
      <c r="A39">
        <v>17</v>
      </c>
      <c r="B39">
        <v>1</v>
      </c>
      <c r="C39">
        <f>ROW(SmtRes!A39)</f>
        <v>39</v>
      </c>
      <c r="D39">
        <f>ROW(EtalonRes!A37)</f>
        <v>37</v>
      </c>
      <c r="E39" t="s">
        <v>82</v>
      </c>
      <c r="F39" t="s">
        <v>83</v>
      </c>
      <c r="G39" t="s">
        <v>84</v>
      </c>
      <c r="H39" t="s">
        <v>65</v>
      </c>
      <c r="I39">
        <v>0.9</v>
      </c>
      <c r="J39">
        <v>0</v>
      </c>
      <c r="O39">
        <f t="shared" si="3"/>
        <v>12218.16</v>
      </c>
      <c r="P39">
        <f t="shared" si="4"/>
        <v>7710.21</v>
      </c>
      <c r="Q39">
        <f t="shared" si="5"/>
        <v>35.71</v>
      </c>
      <c r="R39">
        <f t="shared" si="6"/>
        <v>15.25</v>
      </c>
      <c r="S39">
        <f t="shared" si="7"/>
        <v>4472.24</v>
      </c>
      <c r="T39">
        <f t="shared" si="8"/>
        <v>0</v>
      </c>
      <c r="U39">
        <f t="shared" si="9"/>
        <v>31.572</v>
      </c>
      <c r="V39">
        <f t="shared" si="10"/>
        <v>0.06300000000000001</v>
      </c>
      <c r="W39">
        <f t="shared" si="11"/>
        <v>0</v>
      </c>
      <c r="X39">
        <f t="shared" si="12"/>
        <v>4397.74</v>
      </c>
      <c r="Y39">
        <f t="shared" si="13"/>
        <v>3230.99</v>
      </c>
      <c r="AA39">
        <v>0</v>
      </c>
      <c r="AB39">
        <f t="shared" si="14"/>
        <v>2263.61</v>
      </c>
      <c r="AC39">
        <f t="shared" si="31"/>
        <v>1978.5</v>
      </c>
      <c r="AD39">
        <f t="shared" si="31"/>
        <v>6.57</v>
      </c>
      <c r="AE39">
        <f t="shared" si="31"/>
        <v>0.95</v>
      </c>
      <c r="AF39">
        <f t="shared" si="31"/>
        <v>278.54</v>
      </c>
      <c r="AG39">
        <f t="shared" si="16"/>
        <v>0</v>
      </c>
      <c r="AH39">
        <f t="shared" si="32"/>
        <v>35.08</v>
      </c>
      <c r="AI39">
        <f t="shared" si="32"/>
        <v>0.07</v>
      </c>
      <c r="AJ39">
        <f t="shared" si="18"/>
        <v>0</v>
      </c>
      <c r="AK39">
        <v>2263.61</v>
      </c>
      <c r="AL39">
        <v>1978.5</v>
      </c>
      <c r="AM39">
        <v>6.57</v>
      </c>
      <c r="AN39">
        <v>0.95</v>
      </c>
      <c r="AO39">
        <v>278.54</v>
      </c>
      <c r="AP39">
        <v>0</v>
      </c>
      <c r="AQ39">
        <v>35.08</v>
      </c>
      <c r="AR39">
        <v>0.07</v>
      </c>
      <c r="AS39">
        <v>0</v>
      </c>
      <c r="AT39">
        <v>98</v>
      </c>
      <c r="AU39">
        <v>72</v>
      </c>
      <c r="AV39">
        <v>1</v>
      </c>
      <c r="AW39">
        <v>1</v>
      </c>
      <c r="AX39">
        <v>1</v>
      </c>
      <c r="AY39">
        <v>1</v>
      </c>
      <c r="AZ39">
        <v>7.77</v>
      </c>
      <c r="BA39">
        <v>17.84</v>
      </c>
      <c r="BB39">
        <v>6.04</v>
      </c>
      <c r="BC39">
        <v>4.33</v>
      </c>
      <c r="BH39">
        <v>0</v>
      </c>
      <c r="BI39">
        <v>1</v>
      </c>
      <c r="BJ39" t="s">
        <v>85</v>
      </c>
      <c r="BM39">
        <v>47001</v>
      </c>
      <c r="BN39">
        <v>0</v>
      </c>
      <c r="BO39" t="s">
        <v>83</v>
      </c>
      <c r="BP39">
        <v>1</v>
      </c>
      <c r="BQ39">
        <v>2</v>
      </c>
      <c r="BR39">
        <v>0</v>
      </c>
      <c r="BS39">
        <v>17.84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115</v>
      </c>
      <c r="CA39">
        <v>90</v>
      </c>
      <c r="CF39">
        <v>0</v>
      </c>
      <c r="CG39">
        <v>0</v>
      </c>
      <c r="CM39">
        <v>0</v>
      </c>
      <c r="CO39">
        <v>0</v>
      </c>
      <c r="CP39">
        <f t="shared" si="19"/>
        <v>12218.16</v>
      </c>
      <c r="CQ39">
        <f t="shared" si="20"/>
        <v>8566.905</v>
      </c>
      <c r="CR39">
        <f t="shared" si="21"/>
        <v>39.6828</v>
      </c>
      <c r="CS39">
        <f t="shared" si="22"/>
        <v>16.948</v>
      </c>
      <c r="CT39">
        <f t="shared" si="23"/>
        <v>4969.153600000001</v>
      </c>
      <c r="CU39">
        <f t="shared" si="24"/>
        <v>0</v>
      </c>
      <c r="CV39">
        <f t="shared" si="25"/>
        <v>35.08</v>
      </c>
      <c r="CW39">
        <f t="shared" si="26"/>
        <v>0.07</v>
      </c>
      <c r="CX39">
        <f t="shared" si="27"/>
        <v>0</v>
      </c>
      <c r="CY39">
        <f t="shared" si="28"/>
        <v>4397.740199999999</v>
      </c>
      <c r="CZ39">
        <f t="shared" si="29"/>
        <v>3230.9927999999995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1005</v>
      </c>
      <c r="DV39" t="s">
        <v>65</v>
      </c>
      <c r="DW39" t="s">
        <v>65</v>
      </c>
      <c r="DX39">
        <v>100</v>
      </c>
      <c r="EE39">
        <v>26519266</v>
      </c>
      <c r="EF39">
        <v>2</v>
      </c>
      <c r="EG39" t="s">
        <v>58</v>
      </c>
      <c r="EH39">
        <v>0</v>
      </c>
      <c r="EJ39">
        <v>1</v>
      </c>
      <c r="EK39">
        <v>47001</v>
      </c>
      <c r="EL39" t="s">
        <v>86</v>
      </c>
      <c r="EM39" t="s">
        <v>87</v>
      </c>
      <c r="EQ39">
        <v>0</v>
      </c>
      <c r="ER39">
        <v>2263.61</v>
      </c>
      <c r="ES39">
        <v>1978.5</v>
      </c>
      <c r="ET39">
        <v>6.57</v>
      </c>
      <c r="EU39">
        <v>0.95</v>
      </c>
      <c r="EV39">
        <v>278.54</v>
      </c>
      <c r="EW39">
        <v>35.08</v>
      </c>
      <c r="EX39">
        <v>0.07</v>
      </c>
      <c r="EY39">
        <v>0</v>
      </c>
      <c r="EZ39">
        <v>0</v>
      </c>
      <c r="FQ39">
        <v>0</v>
      </c>
      <c r="FR39">
        <f t="shared" si="30"/>
        <v>0</v>
      </c>
      <c r="FS39">
        <v>0</v>
      </c>
      <c r="FV39" t="s">
        <v>26</v>
      </c>
      <c r="FW39" t="s">
        <v>27</v>
      </c>
      <c r="FX39">
        <v>115</v>
      </c>
      <c r="FY39">
        <v>90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</row>
    <row r="40" spans="1:193" ht="12.75">
      <c r="A40">
        <v>18</v>
      </c>
      <c r="B40">
        <v>1</v>
      </c>
      <c r="C40">
        <v>37</v>
      </c>
      <c r="E40" t="s">
        <v>88</v>
      </c>
      <c r="F40" t="s">
        <v>89</v>
      </c>
      <c r="G40" t="s">
        <v>90</v>
      </c>
      <c r="H40" t="s">
        <v>91</v>
      </c>
      <c r="I40">
        <f>I39*J40</f>
        <v>-13.5</v>
      </c>
      <c r="J40">
        <v>-15</v>
      </c>
      <c r="O40">
        <f t="shared" si="3"/>
        <v>-7710.21</v>
      </c>
      <c r="P40">
        <f t="shared" si="4"/>
        <v>-7710.21</v>
      </c>
      <c r="Q40">
        <f t="shared" si="5"/>
        <v>0</v>
      </c>
      <c r="R40">
        <f t="shared" si="6"/>
        <v>0</v>
      </c>
      <c r="S40">
        <f t="shared" si="7"/>
        <v>0</v>
      </c>
      <c r="T40">
        <f t="shared" si="8"/>
        <v>0</v>
      </c>
      <c r="U40">
        <f t="shared" si="9"/>
        <v>0</v>
      </c>
      <c r="V40">
        <f t="shared" si="10"/>
        <v>0</v>
      </c>
      <c r="W40">
        <f t="shared" si="11"/>
        <v>0</v>
      </c>
      <c r="X40">
        <f t="shared" si="12"/>
        <v>0</v>
      </c>
      <c r="Y40">
        <f t="shared" si="13"/>
        <v>0</v>
      </c>
      <c r="AA40">
        <v>0</v>
      </c>
      <c r="AB40">
        <f t="shared" si="14"/>
        <v>131.9</v>
      </c>
      <c r="AC40">
        <f aca="true" t="shared" si="33" ref="AC40:AJ42">AL40</f>
        <v>131.9</v>
      </c>
      <c r="AD40">
        <f t="shared" si="33"/>
        <v>0</v>
      </c>
      <c r="AE40">
        <f t="shared" si="33"/>
        <v>0</v>
      </c>
      <c r="AF40">
        <f t="shared" si="33"/>
        <v>0</v>
      </c>
      <c r="AG40">
        <f t="shared" si="33"/>
        <v>0</v>
      </c>
      <c r="AH40">
        <f t="shared" si="33"/>
        <v>0</v>
      </c>
      <c r="AI40">
        <f t="shared" si="33"/>
        <v>0</v>
      </c>
      <c r="AJ40">
        <f t="shared" si="33"/>
        <v>0</v>
      </c>
      <c r="AK40">
        <v>131.9</v>
      </c>
      <c r="AL40">
        <v>131.9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98</v>
      </c>
      <c r="AU40">
        <v>72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4.33</v>
      </c>
      <c r="BH40">
        <v>3</v>
      </c>
      <c r="BI40">
        <v>1</v>
      </c>
      <c r="BJ40" t="s">
        <v>92</v>
      </c>
      <c r="BM40">
        <v>47001</v>
      </c>
      <c r="BN40">
        <v>0</v>
      </c>
      <c r="BO40" t="s">
        <v>89</v>
      </c>
      <c r="BP40">
        <v>1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115</v>
      </c>
      <c r="CA40">
        <v>90</v>
      </c>
      <c r="CF40">
        <v>0</v>
      </c>
      <c r="CG40">
        <v>0</v>
      </c>
      <c r="CM40">
        <v>0</v>
      </c>
      <c r="CO40">
        <v>0</v>
      </c>
      <c r="CP40">
        <f t="shared" si="19"/>
        <v>-7710.21</v>
      </c>
      <c r="CQ40">
        <f t="shared" si="20"/>
        <v>571.1270000000001</v>
      </c>
      <c r="CR40">
        <f t="shared" si="21"/>
        <v>0</v>
      </c>
      <c r="CS40">
        <f t="shared" si="22"/>
        <v>0</v>
      </c>
      <c r="CT40">
        <f t="shared" si="23"/>
        <v>0</v>
      </c>
      <c r="CU40">
        <f t="shared" si="24"/>
        <v>0</v>
      </c>
      <c r="CV40">
        <f t="shared" si="25"/>
        <v>0</v>
      </c>
      <c r="CW40">
        <f t="shared" si="26"/>
        <v>0</v>
      </c>
      <c r="CX40">
        <f t="shared" si="27"/>
        <v>0</v>
      </c>
      <c r="CY40">
        <f t="shared" si="28"/>
        <v>0</v>
      </c>
      <c r="CZ40">
        <f t="shared" si="29"/>
        <v>0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1007</v>
      </c>
      <c r="DV40" t="s">
        <v>91</v>
      </c>
      <c r="DW40" t="s">
        <v>91</v>
      </c>
      <c r="DX40">
        <v>1</v>
      </c>
      <c r="EE40">
        <v>26519266</v>
      </c>
      <c r="EF40">
        <v>2</v>
      </c>
      <c r="EG40" t="s">
        <v>58</v>
      </c>
      <c r="EH40">
        <v>0</v>
      </c>
      <c r="EJ40">
        <v>1</v>
      </c>
      <c r="EK40">
        <v>47001</v>
      </c>
      <c r="EL40" t="s">
        <v>86</v>
      </c>
      <c r="EM40" t="s">
        <v>87</v>
      </c>
      <c r="EQ40">
        <v>0</v>
      </c>
      <c r="ER40">
        <v>131.9</v>
      </c>
      <c r="ES40">
        <v>131.9</v>
      </c>
      <c r="ET40">
        <v>0</v>
      </c>
      <c r="EU40">
        <v>0</v>
      </c>
      <c r="EV40">
        <v>0</v>
      </c>
      <c r="EW40">
        <v>0</v>
      </c>
      <c r="EX40">
        <v>0</v>
      </c>
      <c r="EZ40">
        <v>0</v>
      </c>
      <c r="FQ40">
        <v>0</v>
      </c>
      <c r="FR40">
        <f t="shared" si="30"/>
        <v>0</v>
      </c>
      <c r="FS40">
        <v>0</v>
      </c>
      <c r="FV40" t="s">
        <v>26</v>
      </c>
      <c r="FW40" t="s">
        <v>27</v>
      </c>
      <c r="FX40">
        <v>115</v>
      </c>
      <c r="FY40">
        <v>90</v>
      </c>
      <c r="GA40">
        <v>131.9</v>
      </c>
      <c r="GB40">
        <v>131.9</v>
      </c>
      <c r="GC40">
        <v>0</v>
      </c>
      <c r="GD40">
        <v>0</v>
      </c>
      <c r="GE40">
        <v>0</v>
      </c>
      <c r="GF40">
        <v>131.9</v>
      </c>
      <c r="GG40">
        <v>131.9</v>
      </c>
      <c r="GH40">
        <v>0</v>
      </c>
      <c r="GI40">
        <v>0</v>
      </c>
      <c r="GJ40">
        <v>0</v>
      </c>
      <c r="GK40">
        <v>0</v>
      </c>
    </row>
    <row r="41" spans="1:193" ht="12.75">
      <c r="A41">
        <v>18</v>
      </c>
      <c r="B41">
        <v>1</v>
      </c>
      <c r="C41">
        <v>38</v>
      </c>
      <c r="E41" t="s">
        <v>93</v>
      </c>
      <c r="F41" t="s">
        <v>89</v>
      </c>
      <c r="G41" t="s">
        <v>90</v>
      </c>
      <c r="H41" t="s">
        <v>91</v>
      </c>
      <c r="I41">
        <f>I39*J41</f>
        <v>4.5</v>
      </c>
      <c r="J41">
        <v>5</v>
      </c>
      <c r="O41">
        <f t="shared" si="3"/>
        <v>2570.07</v>
      </c>
      <c r="P41">
        <f t="shared" si="4"/>
        <v>2570.07</v>
      </c>
      <c r="Q41">
        <f t="shared" si="5"/>
        <v>0</v>
      </c>
      <c r="R41">
        <f t="shared" si="6"/>
        <v>0</v>
      </c>
      <c r="S41">
        <f t="shared" si="7"/>
        <v>0</v>
      </c>
      <c r="T41">
        <f t="shared" si="8"/>
        <v>0</v>
      </c>
      <c r="U41">
        <f t="shared" si="9"/>
        <v>0</v>
      </c>
      <c r="V41">
        <f t="shared" si="10"/>
        <v>0</v>
      </c>
      <c r="W41">
        <f t="shared" si="11"/>
        <v>0</v>
      </c>
      <c r="X41">
        <f t="shared" si="12"/>
        <v>0</v>
      </c>
      <c r="Y41">
        <f t="shared" si="13"/>
        <v>0</v>
      </c>
      <c r="AA41">
        <v>0</v>
      </c>
      <c r="AB41">
        <f t="shared" si="14"/>
        <v>131.9</v>
      </c>
      <c r="AC41">
        <f t="shared" si="33"/>
        <v>131.9</v>
      </c>
      <c r="AD41">
        <f t="shared" si="33"/>
        <v>0</v>
      </c>
      <c r="AE41">
        <f t="shared" si="33"/>
        <v>0</v>
      </c>
      <c r="AF41">
        <f t="shared" si="33"/>
        <v>0</v>
      </c>
      <c r="AG41">
        <f t="shared" si="33"/>
        <v>0</v>
      </c>
      <c r="AH41">
        <f t="shared" si="33"/>
        <v>0</v>
      </c>
      <c r="AI41">
        <f t="shared" si="33"/>
        <v>0</v>
      </c>
      <c r="AJ41">
        <f t="shared" si="33"/>
        <v>0</v>
      </c>
      <c r="AK41">
        <v>131.9</v>
      </c>
      <c r="AL41">
        <v>131.9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98</v>
      </c>
      <c r="AU41">
        <v>72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4.33</v>
      </c>
      <c r="BH41">
        <v>3</v>
      </c>
      <c r="BI41">
        <v>1</v>
      </c>
      <c r="BJ41" t="s">
        <v>92</v>
      </c>
      <c r="BM41">
        <v>47001</v>
      </c>
      <c r="BN41">
        <v>0</v>
      </c>
      <c r="BO41" t="s">
        <v>89</v>
      </c>
      <c r="BP41">
        <v>1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115</v>
      </c>
      <c r="CA41">
        <v>90</v>
      </c>
      <c r="CF41">
        <v>0</v>
      </c>
      <c r="CG41">
        <v>0</v>
      </c>
      <c r="CM41">
        <v>0</v>
      </c>
      <c r="CO41">
        <v>0</v>
      </c>
      <c r="CP41">
        <f t="shared" si="19"/>
        <v>2570.07</v>
      </c>
      <c r="CQ41">
        <f t="shared" si="20"/>
        <v>571.1270000000001</v>
      </c>
      <c r="CR41">
        <f t="shared" si="21"/>
        <v>0</v>
      </c>
      <c r="CS41">
        <f t="shared" si="22"/>
        <v>0</v>
      </c>
      <c r="CT41">
        <f t="shared" si="23"/>
        <v>0</v>
      </c>
      <c r="CU41">
        <f t="shared" si="24"/>
        <v>0</v>
      </c>
      <c r="CV41">
        <f t="shared" si="25"/>
        <v>0</v>
      </c>
      <c r="CW41">
        <f t="shared" si="26"/>
        <v>0</v>
      </c>
      <c r="CX41">
        <f t="shared" si="27"/>
        <v>0</v>
      </c>
      <c r="CY41">
        <f t="shared" si="28"/>
        <v>0</v>
      </c>
      <c r="CZ41">
        <f t="shared" si="29"/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1007</v>
      </c>
      <c r="DV41" t="s">
        <v>91</v>
      </c>
      <c r="DW41" t="s">
        <v>91</v>
      </c>
      <c r="DX41">
        <v>1</v>
      </c>
      <c r="EE41">
        <v>26519266</v>
      </c>
      <c r="EF41">
        <v>2</v>
      </c>
      <c r="EG41" t="s">
        <v>58</v>
      </c>
      <c r="EH41">
        <v>0</v>
      </c>
      <c r="EJ41">
        <v>1</v>
      </c>
      <c r="EK41">
        <v>47001</v>
      </c>
      <c r="EL41" t="s">
        <v>86</v>
      </c>
      <c r="EM41" t="s">
        <v>87</v>
      </c>
      <c r="EQ41">
        <v>0</v>
      </c>
      <c r="ER41">
        <v>131.9</v>
      </c>
      <c r="ES41">
        <v>131.9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0</v>
      </c>
      <c r="FQ41">
        <v>0</v>
      </c>
      <c r="FR41">
        <f t="shared" si="30"/>
        <v>0</v>
      </c>
      <c r="FS41">
        <v>0</v>
      </c>
      <c r="FV41" t="s">
        <v>26</v>
      </c>
      <c r="FW41" t="s">
        <v>27</v>
      </c>
      <c r="FX41">
        <v>115</v>
      </c>
      <c r="FY41">
        <v>90</v>
      </c>
      <c r="GA41">
        <v>131.9</v>
      </c>
      <c r="GB41">
        <v>131.9</v>
      </c>
      <c r="GC41">
        <v>0</v>
      </c>
      <c r="GD41">
        <v>0</v>
      </c>
      <c r="GE41">
        <v>0</v>
      </c>
      <c r="GF41">
        <v>131.9</v>
      </c>
      <c r="GG41">
        <v>131.9</v>
      </c>
      <c r="GH41">
        <v>0</v>
      </c>
      <c r="GI41">
        <v>0</v>
      </c>
      <c r="GJ41">
        <v>0</v>
      </c>
      <c r="GK41">
        <v>0</v>
      </c>
    </row>
    <row r="42" spans="1:193" ht="12.75">
      <c r="A42">
        <v>18</v>
      </c>
      <c r="B42">
        <v>1</v>
      </c>
      <c r="C42">
        <v>39</v>
      </c>
      <c r="E42" t="s">
        <v>94</v>
      </c>
      <c r="F42" t="s">
        <v>95</v>
      </c>
      <c r="G42" t="s">
        <v>96</v>
      </c>
      <c r="H42" t="s">
        <v>91</v>
      </c>
      <c r="I42">
        <f>I39*J42</f>
        <v>4.5</v>
      </c>
      <c r="J42">
        <v>5</v>
      </c>
      <c r="O42">
        <f t="shared" si="3"/>
        <v>2300.2</v>
      </c>
      <c r="P42">
        <f t="shared" si="4"/>
        <v>2300.2</v>
      </c>
      <c r="Q42">
        <f t="shared" si="5"/>
        <v>0</v>
      </c>
      <c r="R42">
        <f t="shared" si="6"/>
        <v>0</v>
      </c>
      <c r="S42">
        <f t="shared" si="7"/>
        <v>0</v>
      </c>
      <c r="T42">
        <f t="shared" si="8"/>
        <v>0</v>
      </c>
      <c r="U42">
        <f t="shared" si="9"/>
        <v>0</v>
      </c>
      <c r="V42">
        <f t="shared" si="10"/>
        <v>0</v>
      </c>
      <c r="W42">
        <f t="shared" si="11"/>
        <v>0</v>
      </c>
      <c r="X42">
        <f t="shared" si="12"/>
        <v>0</v>
      </c>
      <c r="Y42">
        <f t="shared" si="13"/>
        <v>0</v>
      </c>
      <c r="AA42">
        <v>0</v>
      </c>
      <c r="AB42">
        <f t="shared" si="14"/>
        <v>55.26</v>
      </c>
      <c r="AC42">
        <f t="shared" si="33"/>
        <v>55.26</v>
      </c>
      <c r="AD42">
        <f t="shared" si="33"/>
        <v>0</v>
      </c>
      <c r="AE42">
        <f t="shared" si="33"/>
        <v>0</v>
      </c>
      <c r="AF42">
        <f t="shared" si="33"/>
        <v>0</v>
      </c>
      <c r="AG42">
        <f t="shared" si="33"/>
        <v>0</v>
      </c>
      <c r="AH42">
        <f t="shared" si="33"/>
        <v>0</v>
      </c>
      <c r="AI42">
        <f t="shared" si="33"/>
        <v>0</v>
      </c>
      <c r="AJ42">
        <f t="shared" si="33"/>
        <v>0</v>
      </c>
      <c r="AK42">
        <v>55.26</v>
      </c>
      <c r="AL42">
        <v>55.26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98</v>
      </c>
      <c r="AU42">
        <v>72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9.25</v>
      </c>
      <c r="BH42">
        <v>3</v>
      </c>
      <c r="BI42">
        <v>1</v>
      </c>
      <c r="BJ42" t="s">
        <v>97</v>
      </c>
      <c r="BM42">
        <v>47001</v>
      </c>
      <c r="BN42">
        <v>0</v>
      </c>
      <c r="BO42" t="s">
        <v>95</v>
      </c>
      <c r="BP42">
        <v>1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115</v>
      </c>
      <c r="CA42">
        <v>90</v>
      </c>
      <c r="CF42">
        <v>0</v>
      </c>
      <c r="CG42">
        <v>0</v>
      </c>
      <c r="CM42">
        <v>0</v>
      </c>
      <c r="CO42">
        <v>0</v>
      </c>
      <c r="CP42">
        <f t="shared" si="19"/>
        <v>2300.2</v>
      </c>
      <c r="CQ42">
        <f t="shared" si="20"/>
        <v>511.155</v>
      </c>
      <c r="CR42">
        <f t="shared" si="21"/>
        <v>0</v>
      </c>
      <c r="CS42">
        <f t="shared" si="22"/>
        <v>0</v>
      </c>
      <c r="CT42">
        <f t="shared" si="23"/>
        <v>0</v>
      </c>
      <c r="CU42">
        <f t="shared" si="24"/>
        <v>0</v>
      </c>
      <c r="CV42">
        <f t="shared" si="25"/>
        <v>0</v>
      </c>
      <c r="CW42">
        <f t="shared" si="26"/>
        <v>0</v>
      </c>
      <c r="CX42">
        <f t="shared" si="27"/>
        <v>0</v>
      </c>
      <c r="CY42">
        <f t="shared" si="28"/>
        <v>0</v>
      </c>
      <c r="CZ42">
        <f t="shared" si="29"/>
        <v>0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1007</v>
      </c>
      <c r="DV42" t="s">
        <v>91</v>
      </c>
      <c r="DW42" t="s">
        <v>91</v>
      </c>
      <c r="DX42">
        <v>1</v>
      </c>
      <c r="EE42">
        <v>26519266</v>
      </c>
      <c r="EF42">
        <v>2</v>
      </c>
      <c r="EG42" t="s">
        <v>58</v>
      </c>
      <c r="EH42">
        <v>0</v>
      </c>
      <c r="EJ42">
        <v>1</v>
      </c>
      <c r="EK42">
        <v>47001</v>
      </c>
      <c r="EL42" t="s">
        <v>86</v>
      </c>
      <c r="EM42" t="s">
        <v>87</v>
      </c>
      <c r="EQ42">
        <v>0</v>
      </c>
      <c r="ER42">
        <v>55.26</v>
      </c>
      <c r="ES42">
        <v>55.26</v>
      </c>
      <c r="ET42">
        <v>0</v>
      </c>
      <c r="EU42">
        <v>0</v>
      </c>
      <c r="EV42">
        <v>0</v>
      </c>
      <c r="EW42">
        <v>0</v>
      </c>
      <c r="EX42">
        <v>0</v>
      </c>
      <c r="EZ42">
        <v>0</v>
      </c>
      <c r="FQ42">
        <v>0</v>
      </c>
      <c r="FR42">
        <f t="shared" si="30"/>
        <v>0</v>
      </c>
      <c r="FS42">
        <v>0</v>
      </c>
      <c r="FV42" t="s">
        <v>26</v>
      </c>
      <c r="FW42" t="s">
        <v>27</v>
      </c>
      <c r="FX42">
        <v>115</v>
      </c>
      <c r="FY42">
        <v>90</v>
      </c>
      <c r="GA42">
        <v>55.26</v>
      </c>
      <c r="GB42">
        <v>55.26</v>
      </c>
      <c r="GC42">
        <v>0</v>
      </c>
      <c r="GD42">
        <v>0</v>
      </c>
      <c r="GE42">
        <v>0</v>
      </c>
      <c r="GF42">
        <v>55.26</v>
      </c>
      <c r="GG42">
        <v>55.26</v>
      </c>
      <c r="GH42">
        <v>0</v>
      </c>
      <c r="GI42">
        <v>0</v>
      </c>
      <c r="GJ42">
        <v>0</v>
      </c>
      <c r="GK42">
        <v>0</v>
      </c>
    </row>
    <row r="44" spans="1:43" ht="12.75">
      <c r="A44" s="2">
        <v>51</v>
      </c>
      <c r="B44" s="2">
        <f>B24</f>
        <v>1</v>
      </c>
      <c r="C44" s="2">
        <f>A24</f>
        <v>4</v>
      </c>
      <c r="D44" s="2">
        <f>ROW(A24)</f>
        <v>24</v>
      </c>
      <c r="E44" s="2"/>
      <c r="F44" s="2" t="str">
        <f>IF(F24&lt;&gt;"",F24,"")</f>
        <v>Новый раздел</v>
      </c>
      <c r="G44" s="2" t="str">
        <f>IF(G24&lt;&gt;"",G24,"")</f>
        <v>Внутридворовая территория около д. 35</v>
      </c>
      <c r="H44" s="2"/>
      <c r="I44" s="2"/>
      <c r="J44" s="2"/>
      <c r="K44" s="2"/>
      <c r="L44" s="2"/>
      <c r="M44" s="2"/>
      <c r="N44" s="2"/>
      <c r="O44" s="2">
        <f aca="true" t="shared" si="34" ref="O44:Y44">ROUND(AB44,2)</f>
        <v>142611.41</v>
      </c>
      <c r="P44" s="2">
        <f t="shared" si="34"/>
        <v>4871.25</v>
      </c>
      <c r="Q44" s="2">
        <f t="shared" si="34"/>
        <v>96205.98</v>
      </c>
      <c r="R44" s="2">
        <f t="shared" si="34"/>
        <v>12862.08</v>
      </c>
      <c r="S44" s="2">
        <f t="shared" si="34"/>
        <v>41534.18</v>
      </c>
      <c r="T44" s="2">
        <f t="shared" si="34"/>
        <v>0</v>
      </c>
      <c r="U44" s="2">
        <f t="shared" si="34"/>
        <v>275.6</v>
      </c>
      <c r="V44" s="2">
        <f t="shared" si="34"/>
        <v>47.62</v>
      </c>
      <c r="W44" s="2">
        <f t="shared" si="34"/>
        <v>0</v>
      </c>
      <c r="X44" s="2">
        <f t="shared" si="34"/>
        <v>49522.53</v>
      </c>
      <c r="Y44" s="2">
        <f t="shared" si="34"/>
        <v>28233.36</v>
      </c>
      <c r="Z44" s="2"/>
      <c r="AA44" s="2"/>
      <c r="AB44" s="2">
        <f>ROUND(SUMIF(AA28:AA42,"=0",O28:O42),2)</f>
        <v>142611.41</v>
      </c>
      <c r="AC44" s="2">
        <f>ROUND(SUMIF(AA28:AA42,"=0",P28:P42),2)</f>
        <v>4871.25</v>
      </c>
      <c r="AD44" s="2">
        <f>ROUND(SUMIF(AA28:AA42,"=0",Q28:Q42),2)</f>
        <v>96205.98</v>
      </c>
      <c r="AE44" s="2">
        <f>ROUND(SUMIF(AA28:AA42,"=0",R28:R42),2)</f>
        <v>12862.08</v>
      </c>
      <c r="AF44" s="2">
        <f>ROUND(SUMIF(AA28:AA42,"=0",S28:S42),2)</f>
        <v>41534.18</v>
      </c>
      <c r="AG44" s="2">
        <f>ROUND(SUMIF(AA28:AA42,"=0",T28:T42),2)</f>
        <v>0</v>
      </c>
      <c r="AH44" s="2">
        <f>ROUND(SUMIF(AA28:AA42,"=0",U28:U42),2)</f>
        <v>275.6</v>
      </c>
      <c r="AI44" s="2">
        <f>ROUND(SUMIF(AA28:AA42,"=0",V28:V42),2)</f>
        <v>47.62</v>
      </c>
      <c r="AJ44" s="2">
        <f>ROUND(SUMIF(AA28:AA42,"=0",W28:W42),2)</f>
        <v>0</v>
      </c>
      <c r="AK44" s="2">
        <f>ROUND(SUMIF(AA28:AA42,"=0",X28:X42),2)</f>
        <v>49522.53</v>
      </c>
      <c r="AL44" s="2">
        <f>ROUND(SUMIF(AA28:AA42,"=0",Y28:Y42),2)</f>
        <v>28233.36</v>
      </c>
      <c r="AM44" s="2"/>
      <c r="AN44" s="2">
        <f>ROUND(AO44,2)</f>
        <v>0</v>
      </c>
      <c r="AO44" s="2">
        <f>ROUND(SUMIF(AA28:AA42,"=0",FQ28:FQ42),2)</f>
        <v>0</v>
      </c>
      <c r="AP44" s="2">
        <f>ROUND(AQ44,2)</f>
        <v>0</v>
      </c>
      <c r="AQ44" s="2">
        <f>ROUND(SUM(FR28:FR42),2)</f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201</v>
      </c>
      <c r="F46" s="3">
        <f>Source!O44</f>
        <v>142611.41</v>
      </c>
      <c r="G46" s="3" t="s">
        <v>98</v>
      </c>
      <c r="H46" s="3" t="s">
        <v>99</v>
      </c>
      <c r="I46" s="3"/>
      <c r="J46" s="3"/>
      <c r="K46" s="3">
        <v>201</v>
      </c>
      <c r="L46" s="3">
        <v>1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202</v>
      </c>
      <c r="F47" s="3">
        <f>Source!P44</f>
        <v>4871.25</v>
      </c>
      <c r="G47" s="3" t="s">
        <v>100</v>
      </c>
      <c r="H47" s="3" t="s">
        <v>101</v>
      </c>
      <c r="I47" s="3"/>
      <c r="J47" s="3"/>
      <c r="K47" s="3">
        <v>202</v>
      </c>
      <c r="L47" s="3">
        <v>2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222</v>
      </c>
      <c r="F48" s="3">
        <f>Source!AN44</f>
        <v>0</v>
      </c>
      <c r="G48" s="3" t="s">
        <v>102</v>
      </c>
      <c r="H48" s="3" t="s">
        <v>103</v>
      </c>
      <c r="I48" s="3"/>
      <c r="J48" s="3"/>
      <c r="K48" s="3">
        <v>222</v>
      </c>
      <c r="L48" s="3">
        <v>3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216</v>
      </c>
      <c r="F49" s="3">
        <f>Source!AP44</f>
        <v>0</v>
      </c>
      <c r="G49" s="3" t="s">
        <v>104</v>
      </c>
      <c r="H49" s="3" t="s">
        <v>105</v>
      </c>
      <c r="I49" s="3"/>
      <c r="J49" s="3"/>
      <c r="K49" s="3">
        <v>216</v>
      </c>
      <c r="L49" s="3">
        <v>4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203</v>
      </c>
      <c r="F50" s="3">
        <f>Source!Q44</f>
        <v>96205.98</v>
      </c>
      <c r="G50" s="3" t="s">
        <v>106</v>
      </c>
      <c r="H50" s="3" t="s">
        <v>107</v>
      </c>
      <c r="I50" s="3"/>
      <c r="J50" s="3"/>
      <c r="K50" s="3">
        <v>203</v>
      </c>
      <c r="L50" s="3">
        <v>5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204</v>
      </c>
      <c r="F51" s="3">
        <f>Source!R44</f>
        <v>12862.08</v>
      </c>
      <c r="G51" s="3" t="s">
        <v>108</v>
      </c>
      <c r="H51" s="3" t="s">
        <v>109</v>
      </c>
      <c r="I51" s="3"/>
      <c r="J51" s="3"/>
      <c r="K51" s="3">
        <v>204</v>
      </c>
      <c r="L51" s="3">
        <v>6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205</v>
      </c>
      <c r="F52" s="3">
        <f>Source!S44</f>
        <v>41534.18</v>
      </c>
      <c r="G52" s="3" t="s">
        <v>110</v>
      </c>
      <c r="H52" s="3" t="s">
        <v>111</v>
      </c>
      <c r="I52" s="3"/>
      <c r="J52" s="3"/>
      <c r="K52" s="3">
        <v>205</v>
      </c>
      <c r="L52" s="3">
        <v>7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206</v>
      </c>
      <c r="F53" s="3">
        <f>Source!T44</f>
        <v>0</v>
      </c>
      <c r="G53" s="3" t="s">
        <v>112</v>
      </c>
      <c r="H53" s="3" t="s">
        <v>113</v>
      </c>
      <c r="I53" s="3"/>
      <c r="J53" s="3"/>
      <c r="K53" s="3">
        <v>206</v>
      </c>
      <c r="L53" s="3">
        <v>8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207</v>
      </c>
      <c r="F54" s="3">
        <f>Source!U44</f>
        <v>275.6</v>
      </c>
      <c r="G54" s="3" t="s">
        <v>114</v>
      </c>
      <c r="H54" s="3" t="s">
        <v>115</v>
      </c>
      <c r="I54" s="3"/>
      <c r="J54" s="3"/>
      <c r="K54" s="3">
        <v>207</v>
      </c>
      <c r="L54" s="3">
        <v>9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208</v>
      </c>
      <c r="F55" s="3">
        <f>Source!V44</f>
        <v>47.62</v>
      </c>
      <c r="G55" s="3" t="s">
        <v>116</v>
      </c>
      <c r="H55" s="3" t="s">
        <v>117</v>
      </c>
      <c r="I55" s="3"/>
      <c r="J55" s="3"/>
      <c r="K55" s="3">
        <v>208</v>
      </c>
      <c r="L55" s="3">
        <v>10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209</v>
      </c>
      <c r="F56" s="3">
        <f>Source!W44</f>
        <v>0</v>
      </c>
      <c r="G56" s="3" t="s">
        <v>118</v>
      </c>
      <c r="H56" s="3" t="s">
        <v>119</v>
      </c>
      <c r="I56" s="3"/>
      <c r="J56" s="3"/>
      <c r="K56" s="3">
        <v>209</v>
      </c>
      <c r="L56" s="3">
        <v>11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210</v>
      </c>
      <c r="F57" s="3">
        <f>Source!X44</f>
        <v>49522.53</v>
      </c>
      <c r="G57" s="3" t="s">
        <v>120</v>
      </c>
      <c r="H57" s="3" t="s">
        <v>121</v>
      </c>
      <c r="I57" s="3"/>
      <c r="J57" s="3"/>
      <c r="K57" s="3">
        <v>210</v>
      </c>
      <c r="L57" s="3">
        <v>12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211</v>
      </c>
      <c r="F58" s="3">
        <f>Source!Y44</f>
        <v>28233.36</v>
      </c>
      <c r="G58" s="3" t="s">
        <v>122</v>
      </c>
      <c r="H58" s="3" t="s">
        <v>123</v>
      </c>
      <c r="I58" s="3"/>
      <c r="J58" s="3"/>
      <c r="K58" s="3">
        <v>211</v>
      </c>
      <c r="L58" s="3">
        <v>13</v>
      </c>
      <c r="M58" s="3">
        <v>3</v>
      </c>
      <c r="N58" s="3" t="s">
        <v>3</v>
      </c>
    </row>
    <row r="59" ht="12.75">
      <c r="G59">
        <v>0</v>
      </c>
    </row>
    <row r="60" spans="1:67" ht="12.75">
      <c r="A60" s="1">
        <v>4</v>
      </c>
      <c r="B60" s="1">
        <v>1</v>
      </c>
      <c r="C60" s="1"/>
      <c r="D60" s="1">
        <f>ROW(A75)</f>
        <v>75</v>
      </c>
      <c r="E60" s="1"/>
      <c r="F60" s="1" t="s">
        <v>15</v>
      </c>
      <c r="G60" s="1" t="s">
        <v>481</v>
      </c>
      <c r="H60" s="1"/>
      <c r="I60" s="1"/>
      <c r="J60" s="1"/>
      <c r="K60" s="1"/>
      <c r="L60" s="1"/>
      <c r="M60" s="1"/>
      <c r="N60" s="1" t="s">
        <v>3</v>
      </c>
      <c r="O60" s="1"/>
      <c r="P60" s="1"/>
      <c r="Q60" s="1"/>
      <c r="R60" s="1" t="s">
        <v>3</v>
      </c>
      <c r="S60" s="1" t="s">
        <v>3</v>
      </c>
      <c r="T60" s="1" t="s">
        <v>3</v>
      </c>
      <c r="U60" s="1" t="s">
        <v>3</v>
      </c>
      <c r="V60" s="1"/>
      <c r="W60" s="1"/>
      <c r="X60" s="1">
        <v>0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>
        <v>0</v>
      </c>
      <c r="AM60" s="1"/>
      <c r="AN60" s="1"/>
      <c r="AO60" s="1" t="s">
        <v>3</v>
      </c>
      <c r="AP60" s="1" t="s">
        <v>3</v>
      </c>
      <c r="AQ60" s="1" t="s">
        <v>3</v>
      </c>
      <c r="AR60" s="1"/>
      <c r="AS60" s="1"/>
      <c r="AT60" s="1" t="s">
        <v>3</v>
      </c>
      <c r="AU60" s="1" t="s">
        <v>3</v>
      </c>
      <c r="AV60" s="1" t="s">
        <v>3</v>
      </c>
      <c r="AW60" s="1" t="s">
        <v>3</v>
      </c>
      <c r="AX60" s="1" t="s">
        <v>3</v>
      </c>
      <c r="AY60" s="1" t="s">
        <v>3</v>
      </c>
      <c r="AZ60" s="1" t="s">
        <v>3</v>
      </c>
      <c r="BA60" s="1" t="s">
        <v>3</v>
      </c>
      <c r="BB60" s="1" t="s">
        <v>3</v>
      </c>
      <c r="BC60" s="1" t="s">
        <v>3</v>
      </c>
      <c r="BD60" s="1" t="s">
        <v>3</v>
      </c>
      <c r="BE60" s="1" t="s">
        <v>124</v>
      </c>
      <c r="BF60" s="1">
        <v>0</v>
      </c>
      <c r="BG60" s="1">
        <v>0</v>
      </c>
      <c r="BH60" s="1" t="s">
        <v>3</v>
      </c>
      <c r="BI60" s="1" t="s">
        <v>3</v>
      </c>
      <c r="BJ60" s="1" t="s">
        <v>3</v>
      </c>
      <c r="BK60" s="1" t="s">
        <v>3</v>
      </c>
      <c r="BL60" s="1" t="s">
        <v>3</v>
      </c>
      <c r="BM60" s="1">
        <v>0</v>
      </c>
      <c r="BN60" s="1" t="s">
        <v>3</v>
      </c>
      <c r="BO60" s="1">
        <v>0</v>
      </c>
    </row>
    <row r="62" spans="1:43" ht="12.75">
      <c r="A62" s="2">
        <v>52</v>
      </c>
      <c r="B62" s="2">
        <f aca="true" t="shared" si="35" ref="B62:AQ62">B75</f>
        <v>1</v>
      </c>
      <c r="C62" s="2">
        <f t="shared" si="35"/>
        <v>4</v>
      </c>
      <c r="D62" s="2">
        <f t="shared" si="35"/>
        <v>60</v>
      </c>
      <c r="E62" s="2">
        <f t="shared" si="35"/>
        <v>0</v>
      </c>
      <c r="F62" s="2" t="str">
        <f t="shared" si="35"/>
        <v>Новый раздел</v>
      </c>
      <c r="G62" s="2" t="str">
        <f t="shared" si="35"/>
        <v>Внутридворовая территория около д. 37</v>
      </c>
      <c r="H62" s="2">
        <f t="shared" si="35"/>
        <v>0</v>
      </c>
      <c r="I62" s="2">
        <f t="shared" si="35"/>
        <v>0</v>
      </c>
      <c r="J62" s="2">
        <f t="shared" si="35"/>
        <v>0</v>
      </c>
      <c r="K62" s="2">
        <f t="shared" si="35"/>
        <v>0</v>
      </c>
      <c r="L62" s="2">
        <f t="shared" si="35"/>
        <v>0</v>
      </c>
      <c r="M62" s="2">
        <f t="shared" si="35"/>
        <v>0</v>
      </c>
      <c r="N62" s="2">
        <f t="shared" si="35"/>
        <v>0</v>
      </c>
      <c r="O62" s="2">
        <f t="shared" si="35"/>
        <v>18053.41</v>
      </c>
      <c r="P62" s="2">
        <f t="shared" si="35"/>
        <v>351.75</v>
      </c>
      <c r="Q62" s="2">
        <f t="shared" si="35"/>
        <v>4309.06</v>
      </c>
      <c r="R62" s="2">
        <f t="shared" si="35"/>
        <v>345.81</v>
      </c>
      <c r="S62" s="2">
        <f t="shared" si="35"/>
        <v>13392.6</v>
      </c>
      <c r="T62" s="2">
        <f t="shared" si="35"/>
        <v>0</v>
      </c>
      <c r="U62" s="2">
        <f t="shared" si="35"/>
        <v>93.4</v>
      </c>
      <c r="V62" s="2">
        <f t="shared" si="35"/>
        <v>1.45</v>
      </c>
      <c r="W62" s="2">
        <f t="shared" si="35"/>
        <v>0</v>
      </c>
      <c r="X62" s="2">
        <f t="shared" si="35"/>
        <v>12428.32</v>
      </c>
      <c r="Y62" s="2">
        <f t="shared" si="35"/>
        <v>6938.58</v>
      </c>
      <c r="Z62" s="2">
        <f t="shared" si="35"/>
        <v>0</v>
      </c>
      <c r="AA62" s="2">
        <f t="shared" si="35"/>
        <v>0</v>
      </c>
      <c r="AB62" s="2">
        <f t="shared" si="35"/>
        <v>18053.41</v>
      </c>
      <c r="AC62" s="2">
        <f t="shared" si="35"/>
        <v>351.75</v>
      </c>
      <c r="AD62" s="2">
        <f t="shared" si="35"/>
        <v>4309.06</v>
      </c>
      <c r="AE62" s="2">
        <f t="shared" si="35"/>
        <v>345.81</v>
      </c>
      <c r="AF62" s="2">
        <f t="shared" si="35"/>
        <v>13392.6</v>
      </c>
      <c r="AG62" s="2">
        <f t="shared" si="35"/>
        <v>0</v>
      </c>
      <c r="AH62" s="2">
        <f t="shared" si="35"/>
        <v>93.4</v>
      </c>
      <c r="AI62" s="2">
        <f t="shared" si="35"/>
        <v>1.45</v>
      </c>
      <c r="AJ62" s="2">
        <f t="shared" si="35"/>
        <v>0</v>
      </c>
      <c r="AK62" s="2">
        <f t="shared" si="35"/>
        <v>12428.32</v>
      </c>
      <c r="AL62" s="2">
        <f t="shared" si="35"/>
        <v>6938.58</v>
      </c>
      <c r="AM62" s="2">
        <f t="shared" si="35"/>
        <v>0</v>
      </c>
      <c r="AN62" s="2">
        <f t="shared" si="35"/>
        <v>0</v>
      </c>
      <c r="AO62" s="2">
        <f t="shared" si="35"/>
        <v>0</v>
      </c>
      <c r="AP62" s="2">
        <f t="shared" si="35"/>
        <v>0</v>
      </c>
      <c r="AQ62" s="2">
        <f t="shared" si="35"/>
        <v>0</v>
      </c>
    </row>
    <row r="64" spans="1:193" ht="12.75">
      <c r="A64">
        <v>17</v>
      </c>
      <c r="B64">
        <v>1</v>
      </c>
      <c r="C64">
        <f>ROW(SmtRes!A41)</f>
        <v>41</v>
      </c>
      <c r="D64">
        <f>ROW(EtalonRes!A39)</f>
        <v>39</v>
      </c>
      <c r="E64" t="s">
        <v>125</v>
      </c>
      <c r="F64" t="s">
        <v>33</v>
      </c>
      <c r="G64" t="s">
        <v>34</v>
      </c>
      <c r="H64" t="s">
        <v>20</v>
      </c>
      <c r="I64">
        <v>38</v>
      </c>
      <c r="J64">
        <v>0</v>
      </c>
      <c r="O64">
        <f aca="true" t="shared" si="36" ref="O64:O73">ROUND(CP64,2)</f>
        <v>3037.08</v>
      </c>
      <c r="P64">
        <f aca="true" t="shared" si="37" ref="P64:P73">ROUND(CQ64*I64,2)</f>
        <v>0</v>
      </c>
      <c r="Q64">
        <f aca="true" t="shared" si="38" ref="Q64:Q73">ROUND(CR64*I64,2)</f>
        <v>0</v>
      </c>
      <c r="R64">
        <f aca="true" t="shared" si="39" ref="R64:R73">ROUND(CS64*I64,2)</f>
        <v>0</v>
      </c>
      <c r="S64">
        <f aca="true" t="shared" si="40" ref="S64:S73">ROUND(CT64*I64,2)</f>
        <v>3037.08</v>
      </c>
      <c r="T64">
        <f aca="true" t="shared" si="41" ref="T64:T73">ROUND(CU64*I64,2)</f>
        <v>0</v>
      </c>
      <c r="U64">
        <f aca="true" t="shared" si="42" ref="U64:U73">CV64*I64</f>
        <v>20.14</v>
      </c>
      <c r="V64">
        <f aca="true" t="shared" si="43" ref="V64:V73">CW64*I64</f>
        <v>0</v>
      </c>
      <c r="W64">
        <f aca="true" t="shared" si="44" ref="W64:W73">ROUND(CX64*I64,2)</f>
        <v>0</v>
      </c>
      <c r="X64">
        <f aca="true" t="shared" si="45" ref="X64:X73">ROUND(CY64,2)</f>
        <v>2672.63</v>
      </c>
      <c r="Y64">
        <f aca="true" t="shared" si="46" ref="Y64:Y73">ROUND(CZ64,2)</f>
        <v>1457.8</v>
      </c>
      <c r="AA64">
        <v>0</v>
      </c>
      <c r="AB64">
        <f aca="true" t="shared" si="47" ref="AB64:AB73">(AC64+AD64+AF64)</f>
        <v>4.48</v>
      </c>
      <c r="AC64">
        <f aca="true" t="shared" si="48" ref="AC64:AF65">(ES64)</f>
        <v>0</v>
      </c>
      <c r="AD64">
        <f t="shared" si="48"/>
        <v>0</v>
      </c>
      <c r="AE64">
        <f t="shared" si="48"/>
        <v>0</v>
      </c>
      <c r="AF64">
        <f t="shared" si="48"/>
        <v>4.48</v>
      </c>
      <c r="AG64">
        <f aca="true" t="shared" si="49" ref="AG64:AG70">(AP64)</f>
        <v>0</v>
      </c>
      <c r="AH64">
        <f>(EW64)</f>
        <v>0.53</v>
      </c>
      <c r="AI64">
        <f>(EX64)</f>
        <v>0</v>
      </c>
      <c r="AJ64">
        <f aca="true" t="shared" si="50" ref="AJ64:AJ70">(AS64)</f>
        <v>0</v>
      </c>
      <c r="AK64">
        <v>4.48</v>
      </c>
      <c r="AL64">
        <v>0</v>
      </c>
      <c r="AM64">
        <v>0</v>
      </c>
      <c r="AN64">
        <v>0</v>
      </c>
      <c r="AO64">
        <v>4.48</v>
      </c>
      <c r="AP64">
        <v>0</v>
      </c>
      <c r="AQ64">
        <v>0.53</v>
      </c>
      <c r="AR64">
        <v>0</v>
      </c>
      <c r="AS64">
        <v>0</v>
      </c>
      <c r="AT64">
        <v>88</v>
      </c>
      <c r="AU64">
        <v>48</v>
      </c>
      <c r="AV64">
        <v>1</v>
      </c>
      <c r="AW64">
        <v>1</v>
      </c>
      <c r="AX64">
        <v>1</v>
      </c>
      <c r="AY64">
        <v>1</v>
      </c>
      <c r="AZ64">
        <v>15.95</v>
      </c>
      <c r="BA64">
        <v>17.84</v>
      </c>
      <c r="BB64">
        <v>1</v>
      </c>
      <c r="BC64">
        <v>1</v>
      </c>
      <c r="BH64">
        <v>0</v>
      </c>
      <c r="BI64">
        <v>1</v>
      </c>
      <c r="BJ64" t="s">
        <v>35</v>
      </c>
      <c r="BM64">
        <v>68001</v>
      </c>
      <c r="BN64">
        <v>0</v>
      </c>
      <c r="BO64" t="s">
        <v>33</v>
      </c>
      <c r="BP64">
        <v>1</v>
      </c>
      <c r="BQ64">
        <v>6</v>
      </c>
      <c r="BR64">
        <v>0</v>
      </c>
      <c r="BS64">
        <v>17.84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104</v>
      </c>
      <c r="CA64">
        <v>60</v>
      </c>
      <c r="CF64">
        <v>0</v>
      </c>
      <c r="CG64">
        <v>0</v>
      </c>
      <c r="CM64">
        <v>0</v>
      </c>
      <c r="CO64">
        <v>0</v>
      </c>
      <c r="CP64">
        <f aca="true" t="shared" si="51" ref="CP64:CP73">(P64+Q64+S64)</f>
        <v>3037.08</v>
      </c>
      <c r="CQ64">
        <f aca="true" t="shared" si="52" ref="CQ64:CQ73">(AC64)*BC64</f>
        <v>0</v>
      </c>
      <c r="CR64">
        <f aca="true" t="shared" si="53" ref="CR64:CR73">(AD64)*BB64</f>
        <v>0</v>
      </c>
      <c r="CS64">
        <f aca="true" t="shared" si="54" ref="CS64:CS73">(AE64)*BS64</f>
        <v>0</v>
      </c>
      <c r="CT64">
        <f aca="true" t="shared" si="55" ref="CT64:CT73">(AF64)*BA64</f>
        <v>79.92320000000001</v>
      </c>
      <c r="CU64">
        <f aca="true" t="shared" si="56" ref="CU64:CU73">(AG64)*BT64</f>
        <v>0</v>
      </c>
      <c r="CV64">
        <f aca="true" t="shared" si="57" ref="CV64:CV73">(AH64)*BU64</f>
        <v>0.53</v>
      </c>
      <c r="CW64">
        <f aca="true" t="shared" si="58" ref="CW64:CW73">(AI64)*BV64</f>
        <v>0</v>
      </c>
      <c r="CX64">
        <f aca="true" t="shared" si="59" ref="CX64:CX73">(AJ64)*BW64</f>
        <v>0</v>
      </c>
      <c r="CY64">
        <f aca="true" t="shared" si="60" ref="CY64:CY73">((S64+R64)*(ROUND((FX64*IF(1,(IF(0,0.94,0.85)*IF(0,0.85,1)),1)),IF(1,0,2))/100))</f>
        <v>2672.6304</v>
      </c>
      <c r="CZ64">
        <f aca="true" t="shared" si="61" ref="CZ64:CZ73">((S64+R64)*(ROUND((FY64*IF(1,0.8,1)),IF(1,0,2))/100))</f>
        <v>1457.7984</v>
      </c>
      <c r="DN64">
        <v>0</v>
      </c>
      <c r="DO64">
        <v>0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1010</v>
      </c>
      <c r="DV64" t="s">
        <v>20</v>
      </c>
      <c r="DW64" t="s">
        <v>22</v>
      </c>
      <c r="DX64">
        <v>1</v>
      </c>
      <c r="EE64">
        <v>26519323</v>
      </c>
      <c r="EF64">
        <v>6</v>
      </c>
      <c r="EG64" t="s">
        <v>23</v>
      </c>
      <c r="EH64">
        <v>0</v>
      </c>
      <c r="EJ64">
        <v>1</v>
      </c>
      <c r="EK64">
        <v>68001</v>
      </c>
      <c r="EL64" t="s">
        <v>24</v>
      </c>
      <c r="EM64" t="s">
        <v>25</v>
      </c>
      <c r="EQ64">
        <v>0</v>
      </c>
      <c r="ER64">
        <v>4.48</v>
      </c>
      <c r="ES64">
        <v>0</v>
      </c>
      <c r="ET64">
        <v>0</v>
      </c>
      <c r="EU64">
        <v>0</v>
      </c>
      <c r="EV64">
        <v>4.48</v>
      </c>
      <c r="EW64">
        <v>0.53</v>
      </c>
      <c r="EX64">
        <v>0</v>
      </c>
      <c r="EY64">
        <v>0</v>
      </c>
      <c r="EZ64">
        <v>0</v>
      </c>
      <c r="FQ64">
        <v>0</v>
      </c>
      <c r="FR64">
        <f aca="true" t="shared" si="62" ref="FR64:FR73">ROUND(IF(AND(AA64=0,BI64=3),P64,0),2)</f>
        <v>0</v>
      </c>
      <c r="FS64">
        <v>0</v>
      </c>
      <c r="FV64" t="s">
        <v>26</v>
      </c>
      <c r="FW64" t="s">
        <v>27</v>
      </c>
      <c r="FX64">
        <v>104</v>
      </c>
      <c r="FY64">
        <v>60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</row>
    <row r="65" spans="1:193" ht="12.75">
      <c r="A65">
        <v>17</v>
      </c>
      <c r="B65">
        <v>1</v>
      </c>
      <c r="C65">
        <f>ROW(SmtRes!A43)</f>
        <v>43</v>
      </c>
      <c r="D65">
        <f>ROW(EtalonRes!A41)</f>
        <v>41</v>
      </c>
      <c r="E65" t="s">
        <v>126</v>
      </c>
      <c r="F65" t="s">
        <v>45</v>
      </c>
      <c r="G65" t="s">
        <v>46</v>
      </c>
      <c r="H65" t="s">
        <v>47</v>
      </c>
      <c r="I65">
        <v>94</v>
      </c>
      <c r="J65">
        <v>0</v>
      </c>
      <c r="O65">
        <f t="shared" si="36"/>
        <v>3219.76</v>
      </c>
      <c r="P65">
        <f t="shared" si="37"/>
        <v>0</v>
      </c>
      <c r="Q65">
        <f t="shared" si="38"/>
        <v>0</v>
      </c>
      <c r="R65">
        <f t="shared" si="39"/>
        <v>0</v>
      </c>
      <c r="S65">
        <f t="shared" si="40"/>
        <v>3219.76</v>
      </c>
      <c r="T65">
        <f t="shared" si="41"/>
        <v>0</v>
      </c>
      <c r="U65">
        <f t="shared" si="42"/>
        <v>23.5</v>
      </c>
      <c r="V65">
        <f t="shared" si="43"/>
        <v>0</v>
      </c>
      <c r="W65">
        <f t="shared" si="44"/>
        <v>0</v>
      </c>
      <c r="X65">
        <f t="shared" si="45"/>
        <v>2833.39</v>
      </c>
      <c r="Y65">
        <f t="shared" si="46"/>
        <v>1545.48</v>
      </c>
      <c r="AA65">
        <v>0</v>
      </c>
      <c r="AB65">
        <f t="shared" si="47"/>
        <v>1.92</v>
      </c>
      <c r="AC65">
        <f t="shared" si="48"/>
        <v>0</v>
      </c>
      <c r="AD65">
        <f t="shared" si="48"/>
        <v>0</v>
      </c>
      <c r="AE65">
        <f t="shared" si="48"/>
        <v>0</v>
      </c>
      <c r="AF65">
        <f t="shared" si="48"/>
        <v>1.92</v>
      </c>
      <c r="AG65">
        <f t="shared" si="49"/>
        <v>0</v>
      </c>
      <c r="AH65">
        <f>(EW65)</f>
        <v>0.25</v>
      </c>
      <c r="AI65">
        <f>(EX65)</f>
        <v>0</v>
      </c>
      <c r="AJ65">
        <f t="shared" si="50"/>
        <v>0</v>
      </c>
      <c r="AK65">
        <v>1.92</v>
      </c>
      <c r="AL65">
        <v>0</v>
      </c>
      <c r="AM65">
        <v>0</v>
      </c>
      <c r="AN65">
        <v>0</v>
      </c>
      <c r="AO65">
        <v>1.92</v>
      </c>
      <c r="AP65">
        <v>0</v>
      </c>
      <c r="AQ65">
        <v>0.25</v>
      </c>
      <c r="AR65">
        <v>0</v>
      </c>
      <c r="AS65">
        <v>0</v>
      </c>
      <c r="AT65">
        <v>88</v>
      </c>
      <c r="AU65">
        <v>48</v>
      </c>
      <c r="AV65">
        <v>1</v>
      </c>
      <c r="AW65">
        <v>1</v>
      </c>
      <c r="AX65">
        <v>1</v>
      </c>
      <c r="AY65">
        <v>1</v>
      </c>
      <c r="AZ65">
        <v>15.95</v>
      </c>
      <c r="BA65">
        <v>17.84</v>
      </c>
      <c r="BB65">
        <v>1</v>
      </c>
      <c r="BC65">
        <v>1</v>
      </c>
      <c r="BH65">
        <v>0</v>
      </c>
      <c r="BI65">
        <v>1</v>
      </c>
      <c r="BJ65" t="s">
        <v>48</v>
      </c>
      <c r="BM65">
        <v>68001</v>
      </c>
      <c r="BN65">
        <v>0</v>
      </c>
      <c r="BO65" t="s">
        <v>45</v>
      </c>
      <c r="BP65">
        <v>1</v>
      </c>
      <c r="BQ65">
        <v>6</v>
      </c>
      <c r="BR65">
        <v>0</v>
      </c>
      <c r="BS65">
        <v>17.84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104</v>
      </c>
      <c r="CA65">
        <v>60</v>
      </c>
      <c r="CF65">
        <v>0</v>
      </c>
      <c r="CG65">
        <v>0</v>
      </c>
      <c r="CM65">
        <v>0</v>
      </c>
      <c r="CO65">
        <v>0</v>
      </c>
      <c r="CP65">
        <f t="shared" si="51"/>
        <v>3219.76</v>
      </c>
      <c r="CQ65">
        <f t="shared" si="52"/>
        <v>0</v>
      </c>
      <c r="CR65">
        <f t="shared" si="53"/>
        <v>0</v>
      </c>
      <c r="CS65">
        <f t="shared" si="54"/>
        <v>0</v>
      </c>
      <c r="CT65">
        <f t="shared" si="55"/>
        <v>34.2528</v>
      </c>
      <c r="CU65">
        <f t="shared" si="56"/>
        <v>0</v>
      </c>
      <c r="CV65">
        <f t="shared" si="57"/>
        <v>0.25</v>
      </c>
      <c r="CW65">
        <f t="shared" si="58"/>
        <v>0</v>
      </c>
      <c r="CX65">
        <f t="shared" si="59"/>
        <v>0</v>
      </c>
      <c r="CY65">
        <f t="shared" si="60"/>
        <v>2833.3888</v>
      </c>
      <c r="CZ65">
        <f t="shared" si="61"/>
        <v>1545.4848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1003</v>
      </c>
      <c r="DV65" t="s">
        <v>47</v>
      </c>
      <c r="DW65" t="s">
        <v>49</v>
      </c>
      <c r="DX65">
        <v>1</v>
      </c>
      <c r="EE65">
        <v>26519323</v>
      </c>
      <c r="EF65">
        <v>6</v>
      </c>
      <c r="EG65" t="s">
        <v>23</v>
      </c>
      <c r="EH65">
        <v>0</v>
      </c>
      <c r="EJ65">
        <v>1</v>
      </c>
      <c r="EK65">
        <v>68001</v>
      </c>
      <c r="EL65" t="s">
        <v>24</v>
      </c>
      <c r="EM65" t="s">
        <v>25</v>
      </c>
      <c r="EQ65">
        <v>0</v>
      </c>
      <c r="ER65">
        <v>1.92</v>
      </c>
      <c r="ES65">
        <v>0</v>
      </c>
      <c r="ET65">
        <v>0</v>
      </c>
      <c r="EU65">
        <v>0</v>
      </c>
      <c r="EV65">
        <v>1.92</v>
      </c>
      <c r="EW65">
        <v>0.25</v>
      </c>
      <c r="EX65">
        <v>0</v>
      </c>
      <c r="EY65">
        <v>0</v>
      </c>
      <c r="EZ65">
        <v>0</v>
      </c>
      <c r="FQ65">
        <v>0</v>
      </c>
      <c r="FR65">
        <f t="shared" si="62"/>
        <v>0</v>
      </c>
      <c r="FS65">
        <v>0</v>
      </c>
      <c r="FV65" t="s">
        <v>26</v>
      </c>
      <c r="FW65" t="s">
        <v>27</v>
      </c>
      <c r="FX65">
        <v>104</v>
      </c>
      <c r="FY65">
        <v>60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</row>
    <row r="66" spans="1:193" ht="12.75">
      <c r="A66">
        <v>17</v>
      </c>
      <c r="B66">
        <v>1</v>
      </c>
      <c r="C66">
        <f>ROW(SmtRes!A55)</f>
        <v>55</v>
      </c>
      <c r="D66">
        <f>ROW(EtalonRes!A53)</f>
        <v>53</v>
      </c>
      <c r="E66" t="s">
        <v>127</v>
      </c>
      <c r="F66" t="s">
        <v>51</v>
      </c>
      <c r="G66" t="s">
        <v>52</v>
      </c>
      <c r="H66" t="s">
        <v>53</v>
      </c>
      <c r="I66">
        <v>0.02</v>
      </c>
      <c r="J66">
        <v>0</v>
      </c>
      <c r="O66">
        <f t="shared" si="36"/>
        <v>2206.66</v>
      </c>
      <c r="P66">
        <f t="shared" si="37"/>
        <v>0</v>
      </c>
      <c r="Q66">
        <f t="shared" si="38"/>
        <v>1219.5</v>
      </c>
      <c r="R66">
        <f t="shared" si="39"/>
        <v>344.71</v>
      </c>
      <c r="S66">
        <f t="shared" si="40"/>
        <v>987.16</v>
      </c>
      <c r="T66">
        <f t="shared" si="41"/>
        <v>0</v>
      </c>
      <c r="U66">
        <f t="shared" si="42"/>
        <v>6.0277</v>
      </c>
      <c r="V66">
        <f t="shared" si="43"/>
        <v>1.44088</v>
      </c>
      <c r="W66">
        <f t="shared" si="44"/>
        <v>0</v>
      </c>
      <c r="X66">
        <f t="shared" si="45"/>
        <v>1478.38</v>
      </c>
      <c r="Y66">
        <f t="shared" si="46"/>
        <v>905.67</v>
      </c>
      <c r="AA66">
        <v>0</v>
      </c>
      <c r="AB66">
        <f t="shared" si="47"/>
        <v>11235.448</v>
      </c>
      <c r="AC66">
        <f>((ES66*0))</f>
        <v>0</v>
      </c>
      <c r="AD66">
        <f>((ET66*0.7))</f>
        <v>8468.733</v>
      </c>
      <c r="AE66">
        <f>((EU66*0.7))</f>
        <v>966.112</v>
      </c>
      <c r="AF66">
        <f>((EV66*0.7))</f>
        <v>2766.7149999999997</v>
      </c>
      <c r="AG66">
        <f t="shared" si="49"/>
        <v>0</v>
      </c>
      <c r="AH66">
        <f>((EW66*0.7))</f>
        <v>301.385</v>
      </c>
      <c r="AI66">
        <f>((EX66*0.7))</f>
        <v>72.044</v>
      </c>
      <c r="AJ66">
        <f t="shared" si="50"/>
        <v>0</v>
      </c>
      <c r="AK66">
        <v>17168.37</v>
      </c>
      <c r="AL66">
        <v>1117.73</v>
      </c>
      <c r="AM66">
        <v>12098.19</v>
      </c>
      <c r="AN66">
        <v>1380.16</v>
      </c>
      <c r="AO66">
        <v>3952.45</v>
      </c>
      <c r="AP66">
        <v>0</v>
      </c>
      <c r="AQ66">
        <v>430.55</v>
      </c>
      <c r="AR66">
        <v>102.92</v>
      </c>
      <c r="AS66">
        <v>0</v>
      </c>
      <c r="AT66">
        <v>111</v>
      </c>
      <c r="AU66">
        <v>68</v>
      </c>
      <c r="AV66">
        <v>1</v>
      </c>
      <c r="AW66">
        <v>1</v>
      </c>
      <c r="AX66">
        <v>1</v>
      </c>
      <c r="AY66">
        <v>1</v>
      </c>
      <c r="AZ66">
        <v>11.8</v>
      </c>
      <c r="BA66">
        <v>17.84</v>
      </c>
      <c r="BB66">
        <v>7.2</v>
      </c>
      <c r="BC66">
        <v>8.98</v>
      </c>
      <c r="BH66">
        <v>0</v>
      </c>
      <c r="BI66">
        <v>1</v>
      </c>
      <c r="BJ66" t="s">
        <v>54</v>
      </c>
      <c r="BM66">
        <v>7001</v>
      </c>
      <c r="BN66">
        <v>0</v>
      </c>
      <c r="BO66" t="s">
        <v>51</v>
      </c>
      <c r="BP66">
        <v>1</v>
      </c>
      <c r="BQ66">
        <v>2</v>
      </c>
      <c r="BR66">
        <v>0</v>
      </c>
      <c r="BS66">
        <v>17.84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130</v>
      </c>
      <c r="CA66">
        <v>85</v>
      </c>
      <c r="CF66">
        <v>0</v>
      </c>
      <c r="CG66">
        <v>0</v>
      </c>
      <c r="CM66">
        <v>0</v>
      </c>
      <c r="CN66" t="s">
        <v>55</v>
      </c>
      <c r="CO66">
        <v>0</v>
      </c>
      <c r="CP66">
        <f t="shared" si="51"/>
        <v>2206.66</v>
      </c>
      <c r="CQ66">
        <f t="shared" si="52"/>
        <v>0</v>
      </c>
      <c r="CR66">
        <f t="shared" si="53"/>
        <v>60974.8776</v>
      </c>
      <c r="CS66">
        <f t="shared" si="54"/>
        <v>17235.43808</v>
      </c>
      <c r="CT66">
        <f t="shared" si="55"/>
        <v>49358.19559999999</v>
      </c>
      <c r="CU66">
        <f t="shared" si="56"/>
        <v>0</v>
      </c>
      <c r="CV66">
        <f t="shared" si="57"/>
        <v>301.385</v>
      </c>
      <c r="CW66">
        <f t="shared" si="58"/>
        <v>72.044</v>
      </c>
      <c r="CX66">
        <f t="shared" si="59"/>
        <v>0</v>
      </c>
      <c r="CY66">
        <f t="shared" si="60"/>
        <v>1478.3757</v>
      </c>
      <c r="CZ66">
        <f t="shared" si="61"/>
        <v>905.6716</v>
      </c>
      <c r="DD66" t="s">
        <v>56</v>
      </c>
      <c r="DE66" t="s">
        <v>57</v>
      </c>
      <c r="DF66" t="s">
        <v>57</v>
      </c>
      <c r="DG66" t="s">
        <v>57</v>
      </c>
      <c r="DI66" t="s">
        <v>57</v>
      </c>
      <c r="DJ66" t="s">
        <v>57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1010</v>
      </c>
      <c r="DV66" t="s">
        <v>53</v>
      </c>
      <c r="DW66" t="s">
        <v>53</v>
      </c>
      <c r="DX66">
        <v>100</v>
      </c>
      <c r="EE66">
        <v>26519187</v>
      </c>
      <c r="EF66">
        <v>2</v>
      </c>
      <c r="EG66" t="s">
        <v>58</v>
      </c>
      <c r="EH66">
        <v>0</v>
      </c>
      <c r="EJ66">
        <v>1</v>
      </c>
      <c r="EK66">
        <v>7001</v>
      </c>
      <c r="EL66" t="s">
        <v>59</v>
      </c>
      <c r="EM66" t="s">
        <v>60</v>
      </c>
      <c r="EO66" t="s">
        <v>61</v>
      </c>
      <c r="EQ66">
        <v>0</v>
      </c>
      <c r="ER66">
        <v>17168.37</v>
      </c>
      <c r="ES66">
        <v>1117.73</v>
      </c>
      <c r="ET66">
        <v>12098.19</v>
      </c>
      <c r="EU66">
        <v>1380.16</v>
      </c>
      <c r="EV66">
        <v>3952.45</v>
      </c>
      <c r="EW66">
        <v>430.55</v>
      </c>
      <c r="EX66">
        <v>102.92</v>
      </c>
      <c r="EY66">
        <v>0</v>
      </c>
      <c r="EZ66">
        <v>0</v>
      </c>
      <c r="FQ66">
        <v>0</v>
      </c>
      <c r="FR66">
        <f t="shared" si="62"/>
        <v>0</v>
      </c>
      <c r="FS66">
        <v>0</v>
      </c>
      <c r="FV66" t="s">
        <v>26</v>
      </c>
      <c r="FW66" t="s">
        <v>27</v>
      </c>
      <c r="FX66">
        <v>130</v>
      </c>
      <c r="FY66">
        <v>85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</row>
    <row r="67" spans="1:193" ht="12.75">
      <c r="A67">
        <v>17</v>
      </c>
      <c r="B67">
        <v>1</v>
      </c>
      <c r="C67">
        <f>ROW(SmtRes!A58)</f>
        <v>58</v>
      </c>
      <c r="D67">
        <f>ROW(EtalonRes!A56)</f>
        <v>56</v>
      </c>
      <c r="E67" t="s">
        <v>128</v>
      </c>
      <c r="F67" t="s">
        <v>63</v>
      </c>
      <c r="G67" t="s">
        <v>64</v>
      </c>
      <c r="H67" t="s">
        <v>65</v>
      </c>
      <c r="I67">
        <v>42.3</v>
      </c>
      <c r="J67">
        <v>0</v>
      </c>
      <c r="O67">
        <f t="shared" si="36"/>
        <v>8897.41</v>
      </c>
      <c r="P67">
        <f t="shared" si="37"/>
        <v>0</v>
      </c>
      <c r="Q67">
        <f t="shared" si="38"/>
        <v>3079.2</v>
      </c>
      <c r="R67">
        <f t="shared" si="39"/>
        <v>0</v>
      </c>
      <c r="S67">
        <f t="shared" si="40"/>
        <v>5818.21</v>
      </c>
      <c r="T67">
        <f t="shared" si="41"/>
        <v>0</v>
      </c>
      <c r="U67">
        <f t="shared" si="42"/>
        <v>41.45399999999999</v>
      </c>
      <c r="V67">
        <f t="shared" si="43"/>
        <v>0</v>
      </c>
      <c r="W67">
        <f t="shared" si="44"/>
        <v>0</v>
      </c>
      <c r="X67">
        <f t="shared" si="45"/>
        <v>5120.02</v>
      </c>
      <c r="Y67">
        <f t="shared" si="46"/>
        <v>2792.74</v>
      </c>
      <c r="AA67">
        <v>0</v>
      </c>
      <c r="AB67">
        <f t="shared" si="47"/>
        <v>20.09</v>
      </c>
      <c r="AC67">
        <f aca="true" t="shared" si="63" ref="AC67:AF70">(ES67)</f>
        <v>0</v>
      </c>
      <c r="AD67">
        <f t="shared" si="63"/>
        <v>12.38</v>
      </c>
      <c r="AE67">
        <f t="shared" si="63"/>
        <v>0</v>
      </c>
      <c r="AF67">
        <f t="shared" si="63"/>
        <v>7.71</v>
      </c>
      <c r="AG67">
        <f t="shared" si="49"/>
        <v>0</v>
      </c>
      <c r="AH67">
        <f aca="true" t="shared" si="64" ref="AH67:AI70">(EW67)</f>
        <v>0.98</v>
      </c>
      <c r="AI67">
        <f t="shared" si="64"/>
        <v>0</v>
      </c>
      <c r="AJ67">
        <f t="shared" si="50"/>
        <v>0</v>
      </c>
      <c r="AK67">
        <v>20.09</v>
      </c>
      <c r="AL67">
        <v>0</v>
      </c>
      <c r="AM67">
        <v>12.38</v>
      </c>
      <c r="AN67">
        <v>0</v>
      </c>
      <c r="AO67">
        <v>7.71</v>
      </c>
      <c r="AP67">
        <v>0</v>
      </c>
      <c r="AQ67">
        <v>0.98</v>
      </c>
      <c r="AR67">
        <v>0</v>
      </c>
      <c r="AS67">
        <v>0</v>
      </c>
      <c r="AT67">
        <v>88</v>
      </c>
      <c r="AU67">
        <v>48</v>
      </c>
      <c r="AV67">
        <v>1</v>
      </c>
      <c r="AW67">
        <v>1</v>
      </c>
      <c r="AX67">
        <v>1</v>
      </c>
      <c r="AY67">
        <v>1</v>
      </c>
      <c r="AZ67">
        <v>12.14</v>
      </c>
      <c r="BA67">
        <v>17.84</v>
      </c>
      <c r="BB67">
        <v>5.88</v>
      </c>
      <c r="BC67">
        <v>1</v>
      </c>
      <c r="BH67">
        <v>0</v>
      </c>
      <c r="BI67">
        <v>1</v>
      </c>
      <c r="BJ67" t="s">
        <v>66</v>
      </c>
      <c r="BM67">
        <v>68001</v>
      </c>
      <c r="BN67">
        <v>0</v>
      </c>
      <c r="BO67" t="s">
        <v>63</v>
      </c>
      <c r="BP67">
        <v>1</v>
      </c>
      <c r="BQ67">
        <v>6</v>
      </c>
      <c r="BR67">
        <v>0</v>
      </c>
      <c r="BS67">
        <v>17.84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104</v>
      </c>
      <c r="CA67">
        <v>60</v>
      </c>
      <c r="CF67">
        <v>0</v>
      </c>
      <c r="CG67">
        <v>0</v>
      </c>
      <c r="CM67">
        <v>0</v>
      </c>
      <c r="CO67">
        <v>0</v>
      </c>
      <c r="CP67">
        <f t="shared" si="51"/>
        <v>8897.41</v>
      </c>
      <c r="CQ67">
        <f t="shared" si="52"/>
        <v>0</v>
      </c>
      <c r="CR67">
        <f t="shared" si="53"/>
        <v>72.79440000000001</v>
      </c>
      <c r="CS67">
        <f t="shared" si="54"/>
        <v>0</v>
      </c>
      <c r="CT67">
        <f t="shared" si="55"/>
        <v>137.5464</v>
      </c>
      <c r="CU67">
        <f t="shared" si="56"/>
        <v>0</v>
      </c>
      <c r="CV67">
        <f t="shared" si="57"/>
        <v>0.98</v>
      </c>
      <c r="CW67">
        <f t="shared" si="58"/>
        <v>0</v>
      </c>
      <c r="CX67">
        <f t="shared" si="59"/>
        <v>0</v>
      </c>
      <c r="CY67">
        <f t="shared" si="60"/>
        <v>5120.0248</v>
      </c>
      <c r="CZ67">
        <f t="shared" si="61"/>
        <v>2792.7408</v>
      </c>
      <c r="DN67">
        <v>0</v>
      </c>
      <c r="DO67">
        <v>0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1005</v>
      </c>
      <c r="DV67" t="s">
        <v>65</v>
      </c>
      <c r="DW67" t="s">
        <v>67</v>
      </c>
      <c r="DX67">
        <v>100</v>
      </c>
      <c r="EE67">
        <v>26519323</v>
      </c>
      <c r="EF67">
        <v>6</v>
      </c>
      <c r="EG67" t="s">
        <v>23</v>
      </c>
      <c r="EH67">
        <v>0</v>
      </c>
      <c r="EJ67">
        <v>1</v>
      </c>
      <c r="EK67">
        <v>68001</v>
      </c>
      <c r="EL67" t="s">
        <v>24</v>
      </c>
      <c r="EM67" t="s">
        <v>25</v>
      </c>
      <c r="EQ67">
        <v>0</v>
      </c>
      <c r="ER67">
        <v>20.09</v>
      </c>
      <c r="ES67">
        <v>0</v>
      </c>
      <c r="ET67">
        <v>12.38</v>
      </c>
      <c r="EU67">
        <v>0</v>
      </c>
      <c r="EV67">
        <v>7.71</v>
      </c>
      <c r="EW67">
        <v>0.98</v>
      </c>
      <c r="EX67">
        <v>0</v>
      </c>
      <c r="EY67">
        <v>0</v>
      </c>
      <c r="EZ67">
        <v>0</v>
      </c>
      <c r="FQ67">
        <v>0</v>
      </c>
      <c r="FR67">
        <f t="shared" si="62"/>
        <v>0</v>
      </c>
      <c r="FS67">
        <v>0</v>
      </c>
      <c r="FV67" t="s">
        <v>26</v>
      </c>
      <c r="FW67" t="s">
        <v>27</v>
      </c>
      <c r="FX67">
        <v>104</v>
      </c>
      <c r="FY67">
        <v>60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</row>
    <row r="68" spans="1:193" ht="12.75">
      <c r="A68">
        <v>17</v>
      </c>
      <c r="B68">
        <v>1</v>
      </c>
      <c r="E68" t="s">
        <v>129</v>
      </c>
      <c r="F68" t="s">
        <v>37</v>
      </c>
      <c r="G68" t="s">
        <v>38</v>
      </c>
      <c r="H68" t="s">
        <v>39</v>
      </c>
      <c r="I68">
        <v>0.1</v>
      </c>
      <c r="J68">
        <v>0</v>
      </c>
      <c r="O68">
        <f t="shared" si="36"/>
        <v>7.4</v>
      </c>
      <c r="P68">
        <f t="shared" si="37"/>
        <v>0</v>
      </c>
      <c r="Q68">
        <f t="shared" si="38"/>
        <v>0</v>
      </c>
      <c r="R68">
        <f t="shared" si="39"/>
        <v>0</v>
      </c>
      <c r="S68">
        <f t="shared" si="40"/>
        <v>7.4</v>
      </c>
      <c r="T68">
        <f t="shared" si="41"/>
        <v>0</v>
      </c>
      <c r="U68">
        <f t="shared" si="42"/>
        <v>0</v>
      </c>
      <c r="V68">
        <f t="shared" si="43"/>
        <v>0</v>
      </c>
      <c r="W68">
        <f t="shared" si="44"/>
        <v>0</v>
      </c>
      <c r="X68">
        <f t="shared" si="45"/>
        <v>6.29</v>
      </c>
      <c r="Y68">
        <f t="shared" si="46"/>
        <v>3.55</v>
      </c>
      <c r="AA68">
        <v>0</v>
      </c>
      <c r="AB68">
        <f t="shared" si="47"/>
        <v>4.15</v>
      </c>
      <c r="AC68">
        <f t="shared" si="63"/>
        <v>0</v>
      </c>
      <c r="AD68">
        <f t="shared" si="63"/>
        <v>0</v>
      </c>
      <c r="AE68">
        <f t="shared" si="63"/>
        <v>0</v>
      </c>
      <c r="AF68">
        <f t="shared" si="63"/>
        <v>4.15</v>
      </c>
      <c r="AG68">
        <f t="shared" si="49"/>
        <v>0</v>
      </c>
      <c r="AH68">
        <f t="shared" si="64"/>
        <v>0</v>
      </c>
      <c r="AI68">
        <f t="shared" si="64"/>
        <v>0</v>
      </c>
      <c r="AJ68">
        <f t="shared" si="50"/>
        <v>0</v>
      </c>
      <c r="AK68">
        <v>4.15</v>
      </c>
      <c r="AL68">
        <v>0</v>
      </c>
      <c r="AM68">
        <v>0</v>
      </c>
      <c r="AN68">
        <v>0</v>
      </c>
      <c r="AO68">
        <v>4.15</v>
      </c>
      <c r="AP68">
        <v>0</v>
      </c>
      <c r="AQ68">
        <v>0</v>
      </c>
      <c r="AR68">
        <v>0</v>
      </c>
      <c r="AS68">
        <v>0</v>
      </c>
      <c r="AT68">
        <v>85</v>
      </c>
      <c r="AU68">
        <v>48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17.84</v>
      </c>
      <c r="BB68">
        <v>1</v>
      </c>
      <c r="BC68">
        <v>1</v>
      </c>
      <c r="BH68">
        <v>3</v>
      </c>
      <c r="BI68">
        <v>4</v>
      </c>
      <c r="BM68">
        <v>0</v>
      </c>
      <c r="BN68">
        <v>0</v>
      </c>
      <c r="BP68">
        <v>0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100</v>
      </c>
      <c r="CA68">
        <v>60</v>
      </c>
      <c r="CF68">
        <v>0</v>
      </c>
      <c r="CG68">
        <v>0</v>
      </c>
      <c r="CM68">
        <v>0</v>
      </c>
      <c r="CO68">
        <v>0</v>
      </c>
      <c r="CP68">
        <f t="shared" si="51"/>
        <v>7.4</v>
      </c>
      <c r="CQ68">
        <f t="shared" si="52"/>
        <v>0</v>
      </c>
      <c r="CR68">
        <f t="shared" si="53"/>
        <v>0</v>
      </c>
      <c r="CS68">
        <f t="shared" si="54"/>
        <v>0</v>
      </c>
      <c r="CT68">
        <f t="shared" si="55"/>
        <v>74.036</v>
      </c>
      <c r="CU68">
        <f t="shared" si="56"/>
        <v>0</v>
      </c>
      <c r="CV68">
        <f t="shared" si="57"/>
        <v>0</v>
      </c>
      <c r="CW68">
        <f t="shared" si="58"/>
        <v>0</v>
      </c>
      <c r="CX68">
        <f t="shared" si="59"/>
        <v>0</v>
      </c>
      <c r="CY68">
        <f t="shared" si="60"/>
        <v>6.29</v>
      </c>
      <c r="CZ68">
        <f t="shared" si="61"/>
        <v>3.552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1009</v>
      </c>
      <c r="DV68" t="s">
        <v>39</v>
      </c>
      <c r="DW68" t="s">
        <v>39</v>
      </c>
      <c r="DX68">
        <v>1000</v>
      </c>
      <c r="EE68">
        <v>26519138</v>
      </c>
      <c r="EF68">
        <v>1</v>
      </c>
      <c r="EG68" t="s">
        <v>40</v>
      </c>
      <c r="EH68">
        <v>0</v>
      </c>
      <c r="EJ68">
        <v>4</v>
      </c>
      <c r="EK68">
        <v>0</v>
      </c>
      <c r="EL68" t="s">
        <v>40</v>
      </c>
      <c r="EM68" t="s">
        <v>41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4.15</v>
      </c>
      <c r="EW68">
        <v>0</v>
      </c>
      <c r="EX68">
        <v>0</v>
      </c>
      <c r="EY68">
        <v>0</v>
      </c>
      <c r="EZ68">
        <v>0</v>
      </c>
      <c r="FQ68">
        <v>0</v>
      </c>
      <c r="FR68">
        <f t="shared" si="62"/>
        <v>0</v>
      </c>
      <c r="FS68">
        <v>0</v>
      </c>
      <c r="FV68" t="s">
        <v>26</v>
      </c>
      <c r="FW68" t="s">
        <v>27</v>
      </c>
      <c r="FX68">
        <v>100</v>
      </c>
      <c r="FY68">
        <v>60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1</v>
      </c>
    </row>
    <row r="69" spans="1:193" ht="12.75">
      <c r="A69">
        <v>17</v>
      </c>
      <c r="B69">
        <v>1</v>
      </c>
      <c r="E69" t="s">
        <v>130</v>
      </c>
      <c r="F69" t="s">
        <v>37</v>
      </c>
      <c r="G69" t="s">
        <v>43</v>
      </c>
      <c r="H69" t="s">
        <v>39</v>
      </c>
      <c r="I69">
        <v>0.1</v>
      </c>
      <c r="J69">
        <v>0</v>
      </c>
      <c r="O69">
        <f t="shared" si="36"/>
        <v>7.78</v>
      </c>
      <c r="P69">
        <f t="shared" si="37"/>
        <v>0</v>
      </c>
      <c r="Q69">
        <f t="shared" si="38"/>
        <v>7.78</v>
      </c>
      <c r="R69">
        <f t="shared" si="39"/>
        <v>0</v>
      </c>
      <c r="S69">
        <f t="shared" si="40"/>
        <v>0</v>
      </c>
      <c r="T69">
        <f t="shared" si="41"/>
        <v>0</v>
      </c>
      <c r="U69">
        <f t="shared" si="42"/>
        <v>0</v>
      </c>
      <c r="V69">
        <f t="shared" si="43"/>
        <v>0</v>
      </c>
      <c r="W69">
        <f t="shared" si="44"/>
        <v>0</v>
      </c>
      <c r="X69">
        <f t="shared" si="45"/>
        <v>0</v>
      </c>
      <c r="Y69">
        <f t="shared" si="46"/>
        <v>0</v>
      </c>
      <c r="AA69">
        <v>0</v>
      </c>
      <c r="AB69">
        <f t="shared" si="47"/>
        <v>14.63</v>
      </c>
      <c r="AC69">
        <f t="shared" si="63"/>
        <v>0</v>
      </c>
      <c r="AD69">
        <f t="shared" si="63"/>
        <v>14.63</v>
      </c>
      <c r="AE69">
        <f t="shared" si="63"/>
        <v>0</v>
      </c>
      <c r="AF69">
        <f t="shared" si="63"/>
        <v>0</v>
      </c>
      <c r="AG69">
        <f t="shared" si="49"/>
        <v>0</v>
      </c>
      <c r="AH69">
        <f t="shared" si="64"/>
        <v>0</v>
      </c>
      <c r="AI69">
        <f t="shared" si="64"/>
        <v>0</v>
      </c>
      <c r="AJ69">
        <f t="shared" si="50"/>
        <v>0</v>
      </c>
      <c r="AK69">
        <v>14.63</v>
      </c>
      <c r="AL69">
        <v>0</v>
      </c>
      <c r="AM69">
        <v>14.63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5.32</v>
      </c>
      <c r="BC69">
        <v>1</v>
      </c>
      <c r="BH69">
        <v>3</v>
      </c>
      <c r="BI69">
        <v>4</v>
      </c>
      <c r="BM69">
        <v>0</v>
      </c>
      <c r="BN69">
        <v>0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0</v>
      </c>
      <c r="CA69">
        <v>0</v>
      </c>
      <c r="CF69">
        <v>0</v>
      </c>
      <c r="CG69">
        <v>0</v>
      </c>
      <c r="CM69">
        <v>0</v>
      </c>
      <c r="CO69">
        <v>0</v>
      </c>
      <c r="CP69">
        <f t="shared" si="51"/>
        <v>7.78</v>
      </c>
      <c r="CQ69">
        <f t="shared" si="52"/>
        <v>0</v>
      </c>
      <c r="CR69">
        <f t="shared" si="53"/>
        <v>77.83160000000001</v>
      </c>
      <c r="CS69">
        <f t="shared" si="54"/>
        <v>0</v>
      </c>
      <c r="CT69">
        <f t="shared" si="55"/>
        <v>0</v>
      </c>
      <c r="CU69">
        <f t="shared" si="56"/>
        <v>0</v>
      </c>
      <c r="CV69">
        <f t="shared" si="57"/>
        <v>0</v>
      </c>
      <c r="CW69">
        <f t="shared" si="58"/>
        <v>0</v>
      </c>
      <c r="CX69">
        <f t="shared" si="59"/>
        <v>0</v>
      </c>
      <c r="CY69">
        <f t="shared" si="60"/>
        <v>0</v>
      </c>
      <c r="CZ69">
        <f t="shared" si="61"/>
        <v>0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1009</v>
      </c>
      <c r="DV69" t="s">
        <v>39</v>
      </c>
      <c r="DW69" t="s">
        <v>39</v>
      </c>
      <c r="DX69">
        <v>1000</v>
      </c>
      <c r="EE69">
        <v>26519138</v>
      </c>
      <c r="EF69">
        <v>1</v>
      </c>
      <c r="EG69" t="s">
        <v>40</v>
      </c>
      <c r="EH69">
        <v>0</v>
      </c>
      <c r="EJ69">
        <v>4</v>
      </c>
      <c r="EK69">
        <v>0</v>
      </c>
      <c r="EL69" t="s">
        <v>40</v>
      </c>
      <c r="EM69" t="s">
        <v>41</v>
      </c>
      <c r="EQ69">
        <v>0</v>
      </c>
      <c r="ER69">
        <v>0</v>
      </c>
      <c r="ES69">
        <v>0</v>
      </c>
      <c r="ET69">
        <v>14.63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Q69">
        <v>0</v>
      </c>
      <c r="FR69">
        <f t="shared" si="62"/>
        <v>0</v>
      </c>
      <c r="FS69">
        <v>0</v>
      </c>
      <c r="FV69" t="s">
        <v>26</v>
      </c>
      <c r="FW69" t="s">
        <v>27</v>
      </c>
      <c r="FX69">
        <v>0</v>
      </c>
      <c r="FY69">
        <v>0</v>
      </c>
      <c r="GA69">
        <v>14.63</v>
      </c>
      <c r="GB69">
        <v>0</v>
      </c>
      <c r="GC69">
        <v>14.63</v>
      </c>
      <c r="GD69">
        <v>0</v>
      </c>
      <c r="GE69">
        <v>0</v>
      </c>
      <c r="GF69">
        <v>14.63</v>
      </c>
      <c r="GG69">
        <v>0</v>
      </c>
      <c r="GH69">
        <v>14.63</v>
      </c>
      <c r="GI69">
        <v>0</v>
      </c>
      <c r="GJ69">
        <v>0</v>
      </c>
      <c r="GK69">
        <v>1</v>
      </c>
    </row>
    <row r="70" spans="1:193" ht="12.75">
      <c r="A70">
        <v>17</v>
      </c>
      <c r="B70">
        <v>1</v>
      </c>
      <c r="C70">
        <f>ROW(SmtRes!A65)</f>
        <v>65</v>
      </c>
      <c r="D70">
        <f>ROW(EtalonRes!A61)</f>
        <v>61</v>
      </c>
      <c r="E70" t="s">
        <v>131</v>
      </c>
      <c r="F70" t="s">
        <v>83</v>
      </c>
      <c r="G70" t="s">
        <v>84</v>
      </c>
      <c r="H70" t="s">
        <v>65</v>
      </c>
      <c r="I70">
        <v>0.065</v>
      </c>
      <c r="J70">
        <v>0</v>
      </c>
      <c r="O70">
        <f t="shared" si="36"/>
        <v>882.42</v>
      </c>
      <c r="P70">
        <f t="shared" si="37"/>
        <v>556.85</v>
      </c>
      <c r="Q70">
        <f t="shared" si="38"/>
        <v>2.58</v>
      </c>
      <c r="R70">
        <f t="shared" si="39"/>
        <v>1.1</v>
      </c>
      <c r="S70">
        <f t="shared" si="40"/>
        <v>322.99</v>
      </c>
      <c r="T70">
        <f t="shared" si="41"/>
        <v>0</v>
      </c>
      <c r="U70">
        <f t="shared" si="42"/>
        <v>2.2802</v>
      </c>
      <c r="V70">
        <f t="shared" si="43"/>
        <v>0.00455</v>
      </c>
      <c r="W70">
        <f t="shared" si="44"/>
        <v>0</v>
      </c>
      <c r="X70">
        <f t="shared" si="45"/>
        <v>317.61</v>
      </c>
      <c r="Y70">
        <f t="shared" si="46"/>
        <v>233.34</v>
      </c>
      <c r="AA70">
        <v>0</v>
      </c>
      <c r="AB70">
        <f t="shared" si="47"/>
        <v>2263.61</v>
      </c>
      <c r="AC70">
        <f t="shared" si="63"/>
        <v>1978.5</v>
      </c>
      <c r="AD70">
        <f t="shared" si="63"/>
        <v>6.57</v>
      </c>
      <c r="AE70">
        <f t="shared" si="63"/>
        <v>0.95</v>
      </c>
      <c r="AF70">
        <f t="shared" si="63"/>
        <v>278.54</v>
      </c>
      <c r="AG70">
        <f t="shared" si="49"/>
        <v>0</v>
      </c>
      <c r="AH70">
        <f t="shared" si="64"/>
        <v>35.08</v>
      </c>
      <c r="AI70">
        <f t="shared" si="64"/>
        <v>0.07</v>
      </c>
      <c r="AJ70">
        <f t="shared" si="50"/>
        <v>0</v>
      </c>
      <c r="AK70">
        <v>2263.61</v>
      </c>
      <c r="AL70">
        <v>1978.5</v>
      </c>
      <c r="AM70">
        <v>6.57</v>
      </c>
      <c r="AN70">
        <v>0.95</v>
      </c>
      <c r="AO70">
        <v>278.54</v>
      </c>
      <c r="AP70">
        <v>0</v>
      </c>
      <c r="AQ70">
        <v>35.08</v>
      </c>
      <c r="AR70">
        <v>0.07</v>
      </c>
      <c r="AS70">
        <v>0</v>
      </c>
      <c r="AT70">
        <v>98</v>
      </c>
      <c r="AU70">
        <v>72</v>
      </c>
      <c r="AV70">
        <v>1</v>
      </c>
      <c r="AW70">
        <v>1</v>
      </c>
      <c r="AX70">
        <v>1</v>
      </c>
      <c r="AY70">
        <v>1</v>
      </c>
      <c r="AZ70">
        <v>7.77</v>
      </c>
      <c r="BA70">
        <v>17.84</v>
      </c>
      <c r="BB70">
        <v>6.04</v>
      </c>
      <c r="BC70">
        <v>4.33</v>
      </c>
      <c r="BH70">
        <v>0</v>
      </c>
      <c r="BI70">
        <v>1</v>
      </c>
      <c r="BJ70" t="s">
        <v>85</v>
      </c>
      <c r="BM70">
        <v>47001</v>
      </c>
      <c r="BN70">
        <v>0</v>
      </c>
      <c r="BO70" t="s">
        <v>83</v>
      </c>
      <c r="BP70">
        <v>1</v>
      </c>
      <c r="BQ70">
        <v>2</v>
      </c>
      <c r="BR70">
        <v>0</v>
      </c>
      <c r="BS70">
        <v>17.84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115</v>
      </c>
      <c r="CA70">
        <v>90</v>
      </c>
      <c r="CF70">
        <v>0</v>
      </c>
      <c r="CG70">
        <v>0</v>
      </c>
      <c r="CM70">
        <v>0</v>
      </c>
      <c r="CO70">
        <v>0</v>
      </c>
      <c r="CP70">
        <f t="shared" si="51"/>
        <v>882.4200000000001</v>
      </c>
      <c r="CQ70">
        <f t="shared" si="52"/>
        <v>8566.905</v>
      </c>
      <c r="CR70">
        <f t="shared" si="53"/>
        <v>39.6828</v>
      </c>
      <c r="CS70">
        <f t="shared" si="54"/>
        <v>16.948</v>
      </c>
      <c r="CT70">
        <f t="shared" si="55"/>
        <v>4969.153600000001</v>
      </c>
      <c r="CU70">
        <f t="shared" si="56"/>
        <v>0</v>
      </c>
      <c r="CV70">
        <f t="shared" si="57"/>
        <v>35.08</v>
      </c>
      <c r="CW70">
        <f t="shared" si="58"/>
        <v>0.07</v>
      </c>
      <c r="CX70">
        <f t="shared" si="59"/>
        <v>0</v>
      </c>
      <c r="CY70">
        <f t="shared" si="60"/>
        <v>317.6082</v>
      </c>
      <c r="CZ70">
        <f t="shared" si="61"/>
        <v>233.34480000000002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1005</v>
      </c>
      <c r="DV70" t="s">
        <v>65</v>
      </c>
      <c r="DW70" t="s">
        <v>65</v>
      </c>
      <c r="DX70">
        <v>100</v>
      </c>
      <c r="EE70">
        <v>26519266</v>
      </c>
      <c r="EF70">
        <v>2</v>
      </c>
      <c r="EG70" t="s">
        <v>58</v>
      </c>
      <c r="EH70">
        <v>0</v>
      </c>
      <c r="EJ70">
        <v>1</v>
      </c>
      <c r="EK70">
        <v>47001</v>
      </c>
      <c r="EL70" t="s">
        <v>86</v>
      </c>
      <c r="EM70" t="s">
        <v>87</v>
      </c>
      <c r="EQ70">
        <v>0</v>
      </c>
      <c r="ER70">
        <v>2263.61</v>
      </c>
      <c r="ES70">
        <v>1978.5</v>
      </c>
      <c r="ET70">
        <v>6.57</v>
      </c>
      <c r="EU70">
        <v>0.95</v>
      </c>
      <c r="EV70">
        <v>278.54</v>
      </c>
      <c r="EW70">
        <v>35.08</v>
      </c>
      <c r="EX70">
        <v>0.07</v>
      </c>
      <c r="EY70">
        <v>0</v>
      </c>
      <c r="EZ70">
        <v>0</v>
      </c>
      <c r="FQ70">
        <v>0</v>
      </c>
      <c r="FR70">
        <f t="shared" si="62"/>
        <v>0</v>
      </c>
      <c r="FS70">
        <v>0</v>
      </c>
      <c r="FV70" t="s">
        <v>26</v>
      </c>
      <c r="FW70" t="s">
        <v>27</v>
      </c>
      <c r="FX70">
        <v>115</v>
      </c>
      <c r="FY70">
        <v>90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</row>
    <row r="71" spans="1:193" ht="12.75">
      <c r="A71">
        <v>18</v>
      </c>
      <c r="B71">
        <v>1</v>
      </c>
      <c r="C71">
        <v>63</v>
      </c>
      <c r="E71" t="s">
        <v>132</v>
      </c>
      <c r="F71" t="s">
        <v>89</v>
      </c>
      <c r="G71" t="s">
        <v>90</v>
      </c>
      <c r="H71" t="s">
        <v>91</v>
      </c>
      <c r="I71">
        <f>I70*J71</f>
        <v>-0.9750000000000001</v>
      </c>
      <c r="J71">
        <v>-15</v>
      </c>
      <c r="O71">
        <f t="shared" si="36"/>
        <v>-556.85</v>
      </c>
      <c r="P71">
        <f t="shared" si="37"/>
        <v>-556.85</v>
      </c>
      <c r="Q71">
        <f t="shared" si="38"/>
        <v>0</v>
      </c>
      <c r="R71">
        <f t="shared" si="39"/>
        <v>0</v>
      </c>
      <c r="S71">
        <f t="shared" si="40"/>
        <v>0</v>
      </c>
      <c r="T71">
        <f t="shared" si="41"/>
        <v>0</v>
      </c>
      <c r="U71">
        <f t="shared" si="42"/>
        <v>0</v>
      </c>
      <c r="V71">
        <f t="shared" si="43"/>
        <v>0</v>
      </c>
      <c r="W71">
        <f t="shared" si="44"/>
        <v>0</v>
      </c>
      <c r="X71">
        <f t="shared" si="45"/>
        <v>0</v>
      </c>
      <c r="Y71">
        <f t="shared" si="46"/>
        <v>0</v>
      </c>
      <c r="AA71">
        <v>0</v>
      </c>
      <c r="AB71">
        <f t="shared" si="47"/>
        <v>131.9</v>
      </c>
      <c r="AC71">
        <f aca="true" t="shared" si="65" ref="AC71:AJ73">AL71</f>
        <v>131.9</v>
      </c>
      <c r="AD71">
        <f t="shared" si="65"/>
        <v>0</v>
      </c>
      <c r="AE71">
        <f t="shared" si="65"/>
        <v>0</v>
      </c>
      <c r="AF71">
        <f t="shared" si="65"/>
        <v>0</v>
      </c>
      <c r="AG71">
        <f t="shared" si="65"/>
        <v>0</v>
      </c>
      <c r="AH71">
        <f t="shared" si="65"/>
        <v>0</v>
      </c>
      <c r="AI71">
        <f t="shared" si="65"/>
        <v>0</v>
      </c>
      <c r="AJ71">
        <f t="shared" si="65"/>
        <v>0</v>
      </c>
      <c r="AK71">
        <v>131.9</v>
      </c>
      <c r="AL71">
        <v>131.9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98</v>
      </c>
      <c r="AU71">
        <v>72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4.33</v>
      </c>
      <c r="BH71">
        <v>3</v>
      </c>
      <c r="BI71">
        <v>1</v>
      </c>
      <c r="BJ71" t="s">
        <v>92</v>
      </c>
      <c r="BM71">
        <v>47001</v>
      </c>
      <c r="BN71">
        <v>0</v>
      </c>
      <c r="BO71" t="s">
        <v>89</v>
      </c>
      <c r="BP71">
        <v>1</v>
      </c>
      <c r="BQ71">
        <v>2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115</v>
      </c>
      <c r="CA71">
        <v>90</v>
      </c>
      <c r="CF71">
        <v>0</v>
      </c>
      <c r="CG71">
        <v>0</v>
      </c>
      <c r="CM71">
        <v>0</v>
      </c>
      <c r="CO71">
        <v>0</v>
      </c>
      <c r="CP71">
        <f t="shared" si="51"/>
        <v>-556.85</v>
      </c>
      <c r="CQ71">
        <f t="shared" si="52"/>
        <v>571.1270000000001</v>
      </c>
      <c r="CR71">
        <f t="shared" si="53"/>
        <v>0</v>
      </c>
      <c r="CS71">
        <f t="shared" si="54"/>
        <v>0</v>
      </c>
      <c r="CT71">
        <f t="shared" si="55"/>
        <v>0</v>
      </c>
      <c r="CU71">
        <f t="shared" si="56"/>
        <v>0</v>
      </c>
      <c r="CV71">
        <f t="shared" si="57"/>
        <v>0</v>
      </c>
      <c r="CW71">
        <f t="shared" si="58"/>
        <v>0</v>
      </c>
      <c r="CX71">
        <f t="shared" si="59"/>
        <v>0</v>
      </c>
      <c r="CY71">
        <f t="shared" si="60"/>
        <v>0</v>
      </c>
      <c r="CZ71">
        <f t="shared" si="61"/>
        <v>0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1007</v>
      </c>
      <c r="DV71" t="s">
        <v>91</v>
      </c>
      <c r="DW71" t="s">
        <v>91</v>
      </c>
      <c r="DX71">
        <v>1</v>
      </c>
      <c r="EE71">
        <v>26519266</v>
      </c>
      <c r="EF71">
        <v>2</v>
      </c>
      <c r="EG71" t="s">
        <v>58</v>
      </c>
      <c r="EH71">
        <v>0</v>
      </c>
      <c r="EJ71">
        <v>1</v>
      </c>
      <c r="EK71">
        <v>47001</v>
      </c>
      <c r="EL71" t="s">
        <v>86</v>
      </c>
      <c r="EM71" t="s">
        <v>87</v>
      </c>
      <c r="EQ71">
        <v>0</v>
      </c>
      <c r="ER71">
        <v>131.9</v>
      </c>
      <c r="ES71">
        <v>131.9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0</v>
      </c>
      <c r="FQ71">
        <v>0</v>
      </c>
      <c r="FR71">
        <f t="shared" si="62"/>
        <v>0</v>
      </c>
      <c r="FS71">
        <v>0</v>
      </c>
      <c r="FV71" t="s">
        <v>26</v>
      </c>
      <c r="FW71" t="s">
        <v>27</v>
      </c>
      <c r="FX71">
        <v>115</v>
      </c>
      <c r="FY71">
        <v>90</v>
      </c>
      <c r="GA71">
        <v>131.9</v>
      </c>
      <c r="GB71">
        <v>131.9</v>
      </c>
      <c r="GC71">
        <v>0</v>
      </c>
      <c r="GD71">
        <v>0</v>
      </c>
      <c r="GE71">
        <v>0</v>
      </c>
      <c r="GF71">
        <v>131.9</v>
      </c>
      <c r="GG71">
        <v>131.9</v>
      </c>
      <c r="GH71">
        <v>0</v>
      </c>
      <c r="GI71">
        <v>0</v>
      </c>
      <c r="GJ71">
        <v>0</v>
      </c>
      <c r="GK71">
        <v>0</v>
      </c>
    </row>
    <row r="72" spans="1:193" ht="12.75">
      <c r="A72">
        <v>18</v>
      </c>
      <c r="B72">
        <v>1</v>
      </c>
      <c r="C72">
        <v>64</v>
      </c>
      <c r="E72" t="s">
        <v>133</v>
      </c>
      <c r="F72" t="s">
        <v>89</v>
      </c>
      <c r="G72" t="s">
        <v>90</v>
      </c>
      <c r="H72" t="s">
        <v>91</v>
      </c>
      <c r="I72">
        <f>I70*J72</f>
        <v>0.325</v>
      </c>
      <c r="J72">
        <v>5</v>
      </c>
      <c r="O72">
        <f t="shared" si="36"/>
        <v>185.62</v>
      </c>
      <c r="P72">
        <f t="shared" si="37"/>
        <v>185.62</v>
      </c>
      <c r="Q72">
        <f t="shared" si="38"/>
        <v>0</v>
      </c>
      <c r="R72">
        <f t="shared" si="39"/>
        <v>0</v>
      </c>
      <c r="S72">
        <f t="shared" si="40"/>
        <v>0</v>
      </c>
      <c r="T72">
        <f t="shared" si="41"/>
        <v>0</v>
      </c>
      <c r="U72">
        <f t="shared" si="42"/>
        <v>0</v>
      </c>
      <c r="V72">
        <f t="shared" si="43"/>
        <v>0</v>
      </c>
      <c r="W72">
        <f t="shared" si="44"/>
        <v>0</v>
      </c>
      <c r="X72">
        <f t="shared" si="45"/>
        <v>0</v>
      </c>
      <c r="Y72">
        <f t="shared" si="46"/>
        <v>0</v>
      </c>
      <c r="AA72">
        <v>0</v>
      </c>
      <c r="AB72">
        <f t="shared" si="47"/>
        <v>131.9</v>
      </c>
      <c r="AC72">
        <f t="shared" si="65"/>
        <v>131.9</v>
      </c>
      <c r="AD72">
        <f t="shared" si="65"/>
        <v>0</v>
      </c>
      <c r="AE72">
        <f t="shared" si="65"/>
        <v>0</v>
      </c>
      <c r="AF72">
        <f t="shared" si="65"/>
        <v>0</v>
      </c>
      <c r="AG72">
        <f t="shared" si="65"/>
        <v>0</v>
      </c>
      <c r="AH72">
        <f t="shared" si="65"/>
        <v>0</v>
      </c>
      <c r="AI72">
        <f t="shared" si="65"/>
        <v>0</v>
      </c>
      <c r="AJ72">
        <f t="shared" si="65"/>
        <v>0</v>
      </c>
      <c r="AK72">
        <v>131.9</v>
      </c>
      <c r="AL72">
        <v>131.9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98</v>
      </c>
      <c r="AU72">
        <v>72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4.33</v>
      </c>
      <c r="BH72">
        <v>3</v>
      </c>
      <c r="BI72">
        <v>1</v>
      </c>
      <c r="BJ72" t="s">
        <v>92</v>
      </c>
      <c r="BM72">
        <v>47001</v>
      </c>
      <c r="BN72">
        <v>0</v>
      </c>
      <c r="BO72" t="s">
        <v>89</v>
      </c>
      <c r="BP72">
        <v>1</v>
      </c>
      <c r="BQ72">
        <v>2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115</v>
      </c>
      <c r="CA72">
        <v>90</v>
      </c>
      <c r="CF72">
        <v>0</v>
      </c>
      <c r="CG72">
        <v>0</v>
      </c>
      <c r="CM72">
        <v>0</v>
      </c>
      <c r="CO72">
        <v>0</v>
      </c>
      <c r="CP72">
        <f t="shared" si="51"/>
        <v>185.62</v>
      </c>
      <c r="CQ72">
        <f t="shared" si="52"/>
        <v>571.1270000000001</v>
      </c>
      <c r="CR72">
        <f t="shared" si="53"/>
        <v>0</v>
      </c>
      <c r="CS72">
        <f t="shared" si="54"/>
        <v>0</v>
      </c>
      <c r="CT72">
        <f t="shared" si="55"/>
        <v>0</v>
      </c>
      <c r="CU72">
        <f t="shared" si="56"/>
        <v>0</v>
      </c>
      <c r="CV72">
        <f t="shared" si="57"/>
        <v>0</v>
      </c>
      <c r="CW72">
        <f t="shared" si="58"/>
        <v>0</v>
      </c>
      <c r="CX72">
        <f t="shared" si="59"/>
        <v>0</v>
      </c>
      <c r="CY72">
        <f t="shared" si="60"/>
        <v>0</v>
      </c>
      <c r="CZ72">
        <f t="shared" si="61"/>
        <v>0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1007</v>
      </c>
      <c r="DV72" t="s">
        <v>91</v>
      </c>
      <c r="DW72" t="s">
        <v>91</v>
      </c>
      <c r="DX72">
        <v>1</v>
      </c>
      <c r="EE72">
        <v>26519266</v>
      </c>
      <c r="EF72">
        <v>2</v>
      </c>
      <c r="EG72" t="s">
        <v>58</v>
      </c>
      <c r="EH72">
        <v>0</v>
      </c>
      <c r="EJ72">
        <v>1</v>
      </c>
      <c r="EK72">
        <v>47001</v>
      </c>
      <c r="EL72" t="s">
        <v>86</v>
      </c>
      <c r="EM72" t="s">
        <v>87</v>
      </c>
      <c r="EQ72">
        <v>0</v>
      </c>
      <c r="ER72">
        <v>131.9</v>
      </c>
      <c r="ES72">
        <v>131.9</v>
      </c>
      <c r="ET72">
        <v>0</v>
      </c>
      <c r="EU72">
        <v>0</v>
      </c>
      <c r="EV72">
        <v>0</v>
      </c>
      <c r="EW72">
        <v>0</v>
      </c>
      <c r="EX72">
        <v>0</v>
      </c>
      <c r="EZ72">
        <v>0</v>
      </c>
      <c r="FQ72">
        <v>0</v>
      </c>
      <c r="FR72">
        <f t="shared" si="62"/>
        <v>0</v>
      </c>
      <c r="FS72">
        <v>0</v>
      </c>
      <c r="FV72" t="s">
        <v>26</v>
      </c>
      <c r="FW72" t="s">
        <v>27</v>
      </c>
      <c r="FX72">
        <v>115</v>
      </c>
      <c r="FY72">
        <v>90</v>
      </c>
      <c r="GA72">
        <v>131.9</v>
      </c>
      <c r="GB72">
        <v>131.9</v>
      </c>
      <c r="GC72">
        <v>0</v>
      </c>
      <c r="GD72">
        <v>0</v>
      </c>
      <c r="GE72">
        <v>0</v>
      </c>
      <c r="GF72">
        <v>131.9</v>
      </c>
      <c r="GG72">
        <v>131.9</v>
      </c>
      <c r="GH72">
        <v>0</v>
      </c>
      <c r="GI72">
        <v>0</v>
      </c>
      <c r="GJ72">
        <v>0</v>
      </c>
      <c r="GK72">
        <v>0</v>
      </c>
    </row>
    <row r="73" spans="1:193" ht="12.75">
      <c r="A73">
        <v>18</v>
      </c>
      <c r="B73">
        <v>1</v>
      </c>
      <c r="C73">
        <v>65</v>
      </c>
      <c r="E73" t="s">
        <v>134</v>
      </c>
      <c r="F73" t="s">
        <v>95</v>
      </c>
      <c r="G73" t="s">
        <v>96</v>
      </c>
      <c r="H73" t="s">
        <v>91</v>
      </c>
      <c r="I73">
        <f>I70*J73</f>
        <v>0.325</v>
      </c>
      <c r="J73">
        <v>5</v>
      </c>
      <c r="O73">
        <f t="shared" si="36"/>
        <v>166.13</v>
      </c>
      <c r="P73">
        <f t="shared" si="37"/>
        <v>166.13</v>
      </c>
      <c r="Q73">
        <f t="shared" si="38"/>
        <v>0</v>
      </c>
      <c r="R73">
        <f t="shared" si="39"/>
        <v>0</v>
      </c>
      <c r="S73">
        <f t="shared" si="40"/>
        <v>0</v>
      </c>
      <c r="T73">
        <f t="shared" si="41"/>
        <v>0</v>
      </c>
      <c r="U73">
        <f t="shared" si="42"/>
        <v>0</v>
      </c>
      <c r="V73">
        <f t="shared" si="43"/>
        <v>0</v>
      </c>
      <c r="W73">
        <f t="shared" si="44"/>
        <v>0</v>
      </c>
      <c r="X73">
        <f t="shared" si="45"/>
        <v>0</v>
      </c>
      <c r="Y73">
        <f t="shared" si="46"/>
        <v>0</v>
      </c>
      <c r="AA73">
        <v>0</v>
      </c>
      <c r="AB73">
        <f t="shared" si="47"/>
        <v>55.26</v>
      </c>
      <c r="AC73">
        <f t="shared" si="65"/>
        <v>55.26</v>
      </c>
      <c r="AD73">
        <f t="shared" si="65"/>
        <v>0</v>
      </c>
      <c r="AE73">
        <f t="shared" si="65"/>
        <v>0</v>
      </c>
      <c r="AF73">
        <f t="shared" si="65"/>
        <v>0</v>
      </c>
      <c r="AG73">
        <f t="shared" si="65"/>
        <v>0</v>
      </c>
      <c r="AH73">
        <f t="shared" si="65"/>
        <v>0</v>
      </c>
      <c r="AI73">
        <f t="shared" si="65"/>
        <v>0</v>
      </c>
      <c r="AJ73">
        <f t="shared" si="65"/>
        <v>0</v>
      </c>
      <c r="AK73">
        <v>55.26</v>
      </c>
      <c r="AL73">
        <v>55.26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98</v>
      </c>
      <c r="AU73">
        <v>72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9.25</v>
      </c>
      <c r="BH73">
        <v>3</v>
      </c>
      <c r="BI73">
        <v>1</v>
      </c>
      <c r="BJ73" t="s">
        <v>97</v>
      </c>
      <c r="BM73">
        <v>47001</v>
      </c>
      <c r="BN73">
        <v>0</v>
      </c>
      <c r="BO73" t="s">
        <v>95</v>
      </c>
      <c r="BP73">
        <v>1</v>
      </c>
      <c r="BQ73">
        <v>2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115</v>
      </c>
      <c r="CA73">
        <v>90</v>
      </c>
      <c r="CF73">
        <v>0</v>
      </c>
      <c r="CG73">
        <v>0</v>
      </c>
      <c r="CM73">
        <v>0</v>
      </c>
      <c r="CO73">
        <v>0</v>
      </c>
      <c r="CP73">
        <f t="shared" si="51"/>
        <v>166.13</v>
      </c>
      <c r="CQ73">
        <f t="shared" si="52"/>
        <v>511.155</v>
      </c>
      <c r="CR73">
        <f t="shared" si="53"/>
        <v>0</v>
      </c>
      <c r="CS73">
        <f t="shared" si="54"/>
        <v>0</v>
      </c>
      <c r="CT73">
        <f t="shared" si="55"/>
        <v>0</v>
      </c>
      <c r="CU73">
        <f t="shared" si="56"/>
        <v>0</v>
      </c>
      <c r="CV73">
        <f t="shared" si="57"/>
        <v>0</v>
      </c>
      <c r="CW73">
        <f t="shared" si="58"/>
        <v>0</v>
      </c>
      <c r="CX73">
        <f t="shared" si="59"/>
        <v>0</v>
      </c>
      <c r="CY73">
        <f t="shared" si="60"/>
        <v>0</v>
      </c>
      <c r="CZ73">
        <f t="shared" si="61"/>
        <v>0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1007</v>
      </c>
      <c r="DV73" t="s">
        <v>91</v>
      </c>
      <c r="DW73" t="s">
        <v>91</v>
      </c>
      <c r="DX73">
        <v>1</v>
      </c>
      <c r="EE73">
        <v>26519266</v>
      </c>
      <c r="EF73">
        <v>2</v>
      </c>
      <c r="EG73" t="s">
        <v>58</v>
      </c>
      <c r="EH73">
        <v>0</v>
      </c>
      <c r="EJ73">
        <v>1</v>
      </c>
      <c r="EK73">
        <v>47001</v>
      </c>
      <c r="EL73" t="s">
        <v>86</v>
      </c>
      <c r="EM73" t="s">
        <v>87</v>
      </c>
      <c r="EQ73">
        <v>0</v>
      </c>
      <c r="ER73">
        <v>55.26</v>
      </c>
      <c r="ES73">
        <v>55.26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0</v>
      </c>
      <c r="FQ73">
        <v>0</v>
      </c>
      <c r="FR73">
        <f t="shared" si="62"/>
        <v>0</v>
      </c>
      <c r="FS73">
        <v>0</v>
      </c>
      <c r="FV73" t="s">
        <v>26</v>
      </c>
      <c r="FW73" t="s">
        <v>27</v>
      </c>
      <c r="FX73">
        <v>115</v>
      </c>
      <c r="FY73">
        <v>90</v>
      </c>
      <c r="GA73">
        <v>55.26</v>
      </c>
      <c r="GB73">
        <v>55.26</v>
      </c>
      <c r="GC73">
        <v>0</v>
      </c>
      <c r="GD73">
        <v>0</v>
      </c>
      <c r="GE73">
        <v>0</v>
      </c>
      <c r="GF73">
        <v>55.26</v>
      </c>
      <c r="GG73">
        <v>55.26</v>
      </c>
      <c r="GH73">
        <v>0</v>
      </c>
      <c r="GI73">
        <v>0</v>
      </c>
      <c r="GJ73">
        <v>0</v>
      </c>
      <c r="GK73">
        <v>0</v>
      </c>
    </row>
    <row r="75" spans="1:43" ht="12.75">
      <c r="A75" s="2">
        <v>51</v>
      </c>
      <c r="B75" s="2">
        <f>B60</f>
        <v>1</v>
      </c>
      <c r="C75" s="2">
        <f>A60</f>
        <v>4</v>
      </c>
      <c r="D75" s="2">
        <f>ROW(A60)</f>
        <v>60</v>
      </c>
      <c r="E75" s="2"/>
      <c r="F75" s="2" t="str">
        <f>IF(F60&lt;&gt;"",F60,"")</f>
        <v>Новый раздел</v>
      </c>
      <c r="G75" s="2" t="str">
        <f>IF(G60&lt;&gt;"",G60,"")</f>
        <v>Внутридворовая территория около д. 37</v>
      </c>
      <c r="H75" s="2"/>
      <c r="I75" s="2"/>
      <c r="J75" s="2"/>
      <c r="K75" s="2"/>
      <c r="L75" s="2"/>
      <c r="M75" s="2"/>
      <c r="N75" s="2"/>
      <c r="O75" s="2">
        <f aca="true" t="shared" si="66" ref="O75:Y75">ROUND(AB75,2)</f>
        <v>18053.41</v>
      </c>
      <c r="P75" s="2">
        <f t="shared" si="66"/>
        <v>351.75</v>
      </c>
      <c r="Q75" s="2">
        <f t="shared" si="66"/>
        <v>4309.06</v>
      </c>
      <c r="R75" s="2">
        <f t="shared" si="66"/>
        <v>345.81</v>
      </c>
      <c r="S75" s="2">
        <f t="shared" si="66"/>
        <v>13392.6</v>
      </c>
      <c r="T75" s="2">
        <f t="shared" si="66"/>
        <v>0</v>
      </c>
      <c r="U75" s="2">
        <f t="shared" si="66"/>
        <v>93.4</v>
      </c>
      <c r="V75" s="2">
        <f t="shared" si="66"/>
        <v>1.45</v>
      </c>
      <c r="W75" s="2">
        <f t="shared" si="66"/>
        <v>0</v>
      </c>
      <c r="X75" s="2">
        <f t="shared" si="66"/>
        <v>12428.32</v>
      </c>
      <c r="Y75" s="2">
        <f t="shared" si="66"/>
        <v>6938.58</v>
      </c>
      <c r="Z75" s="2"/>
      <c r="AA75" s="2"/>
      <c r="AB75" s="2">
        <f>ROUND(SUMIF(AA64:AA73,"=0",O64:O73),2)</f>
        <v>18053.41</v>
      </c>
      <c r="AC75" s="2">
        <f>ROUND(SUMIF(AA64:AA73,"=0",P64:P73),2)</f>
        <v>351.75</v>
      </c>
      <c r="AD75" s="2">
        <f>ROUND(SUMIF(AA64:AA73,"=0",Q64:Q73),2)</f>
        <v>4309.06</v>
      </c>
      <c r="AE75" s="2">
        <f>ROUND(SUMIF(AA64:AA73,"=0",R64:R73),2)</f>
        <v>345.81</v>
      </c>
      <c r="AF75" s="2">
        <f>ROUND(SUMIF(AA64:AA73,"=0",S64:S73),2)</f>
        <v>13392.6</v>
      </c>
      <c r="AG75" s="2">
        <f>ROUND(SUMIF(AA64:AA73,"=0",T64:T73),2)</f>
        <v>0</v>
      </c>
      <c r="AH75" s="2">
        <f>ROUND(SUMIF(AA64:AA73,"=0",U64:U73),2)</f>
        <v>93.4</v>
      </c>
      <c r="AI75" s="2">
        <f>ROUND(SUMIF(AA64:AA73,"=0",V64:V73),2)</f>
        <v>1.45</v>
      </c>
      <c r="AJ75" s="2">
        <f>ROUND(SUMIF(AA64:AA73,"=0",W64:W73),2)</f>
        <v>0</v>
      </c>
      <c r="AK75" s="2">
        <f>ROUND(SUMIF(AA64:AA73,"=0",X64:X73),2)</f>
        <v>12428.32</v>
      </c>
      <c r="AL75" s="2">
        <f>ROUND(SUMIF(AA64:AA73,"=0",Y64:Y73),2)</f>
        <v>6938.58</v>
      </c>
      <c r="AM75" s="2"/>
      <c r="AN75" s="2">
        <f>ROUND(AO75,2)</f>
        <v>0</v>
      </c>
      <c r="AO75" s="2">
        <f>ROUND(SUMIF(AA64:AA73,"=0",FQ64:FQ73),2)</f>
        <v>0</v>
      </c>
      <c r="AP75" s="2">
        <f>ROUND(AQ75,2)</f>
        <v>0</v>
      </c>
      <c r="AQ75" s="2">
        <f>ROUND(SUM(FR64:FR73),2)</f>
        <v>0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201</v>
      </c>
      <c r="F77" s="3">
        <f>Source!O75</f>
        <v>18053.41</v>
      </c>
      <c r="G77" s="3" t="s">
        <v>98</v>
      </c>
      <c r="H77" s="3" t="s">
        <v>99</v>
      </c>
      <c r="I77" s="3"/>
      <c r="J77" s="3"/>
      <c r="K77" s="3">
        <v>201</v>
      </c>
      <c r="L77" s="3">
        <v>1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202</v>
      </c>
      <c r="F78" s="3">
        <f>Source!P75</f>
        <v>351.75</v>
      </c>
      <c r="G78" s="3" t="s">
        <v>100</v>
      </c>
      <c r="H78" s="3" t="s">
        <v>101</v>
      </c>
      <c r="I78" s="3"/>
      <c r="J78" s="3"/>
      <c r="K78" s="3">
        <v>202</v>
      </c>
      <c r="L78" s="3">
        <v>2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222</v>
      </c>
      <c r="F79" s="3">
        <f>Source!AN75</f>
        <v>0</v>
      </c>
      <c r="G79" s="3" t="s">
        <v>102</v>
      </c>
      <c r="H79" s="3" t="s">
        <v>103</v>
      </c>
      <c r="I79" s="3"/>
      <c r="J79" s="3"/>
      <c r="K79" s="3">
        <v>222</v>
      </c>
      <c r="L79" s="3">
        <v>3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216</v>
      </c>
      <c r="F80" s="3">
        <f>Source!AP75</f>
        <v>0</v>
      </c>
      <c r="G80" s="3" t="s">
        <v>104</v>
      </c>
      <c r="H80" s="3" t="s">
        <v>105</v>
      </c>
      <c r="I80" s="3"/>
      <c r="J80" s="3"/>
      <c r="K80" s="3">
        <v>216</v>
      </c>
      <c r="L80" s="3">
        <v>4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203</v>
      </c>
      <c r="F81" s="3">
        <f>Source!Q75</f>
        <v>4309.06</v>
      </c>
      <c r="G81" s="3" t="s">
        <v>106</v>
      </c>
      <c r="H81" s="3" t="s">
        <v>107</v>
      </c>
      <c r="I81" s="3"/>
      <c r="J81" s="3"/>
      <c r="K81" s="3">
        <v>203</v>
      </c>
      <c r="L81" s="3">
        <v>5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204</v>
      </c>
      <c r="F82" s="3">
        <f>Source!R75</f>
        <v>345.81</v>
      </c>
      <c r="G82" s="3" t="s">
        <v>108</v>
      </c>
      <c r="H82" s="3" t="s">
        <v>109</v>
      </c>
      <c r="I82" s="3"/>
      <c r="J82" s="3"/>
      <c r="K82" s="3">
        <v>204</v>
      </c>
      <c r="L82" s="3">
        <v>6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205</v>
      </c>
      <c r="F83" s="3">
        <f>Source!S75</f>
        <v>13392.6</v>
      </c>
      <c r="G83" s="3" t="s">
        <v>110</v>
      </c>
      <c r="H83" s="3" t="s">
        <v>111</v>
      </c>
      <c r="I83" s="3"/>
      <c r="J83" s="3"/>
      <c r="K83" s="3">
        <v>205</v>
      </c>
      <c r="L83" s="3">
        <v>7</v>
      </c>
      <c r="M83" s="3">
        <v>3</v>
      </c>
      <c r="N83" s="3" t="s">
        <v>3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206</v>
      </c>
      <c r="F84" s="3">
        <f>Source!T75</f>
        <v>0</v>
      </c>
      <c r="G84" s="3" t="s">
        <v>112</v>
      </c>
      <c r="H84" s="3" t="s">
        <v>113</v>
      </c>
      <c r="I84" s="3"/>
      <c r="J84" s="3"/>
      <c r="K84" s="3">
        <v>206</v>
      </c>
      <c r="L84" s="3">
        <v>8</v>
      </c>
      <c r="M84" s="3">
        <v>3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207</v>
      </c>
      <c r="F85" s="3">
        <f>Source!U75</f>
        <v>93.4</v>
      </c>
      <c r="G85" s="3" t="s">
        <v>114</v>
      </c>
      <c r="H85" s="3" t="s">
        <v>115</v>
      </c>
      <c r="I85" s="3"/>
      <c r="J85" s="3"/>
      <c r="K85" s="3">
        <v>207</v>
      </c>
      <c r="L85" s="3">
        <v>9</v>
      </c>
      <c r="M85" s="3">
        <v>3</v>
      </c>
      <c r="N85" s="3" t="s">
        <v>3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208</v>
      </c>
      <c r="F86" s="3">
        <f>Source!V75</f>
        <v>1.45</v>
      </c>
      <c r="G86" s="3" t="s">
        <v>116</v>
      </c>
      <c r="H86" s="3" t="s">
        <v>117</v>
      </c>
      <c r="I86" s="3"/>
      <c r="J86" s="3"/>
      <c r="K86" s="3">
        <v>208</v>
      </c>
      <c r="L86" s="3">
        <v>10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209</v>
      </c>
      <c r="F87" s="3">
        <f>Source!W75</f>
        <v>0</v>
      </c>
      <c r="G87" s="3" t="s">
        <v>118</v>
      </c>
      <c r="H87" s="3" t="s">
        <v>119</v>
      </c>
      <c r="I87" s="3"/>
      <c r="J87" s="3"/>
      <c r="K87" s="3">
        <v>209</v>
      </c>
      <c r="L87" s="3">
        <v>11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210</v>
      </c>
      <c r="F88" s="3">
        <f>Source!X75</f>
        <v>12428.32</v>
      </c>
      <c r="G88" s="3" t="s">
        <v>120</v>
      </c>
      <c r="H88" s="3" t="s">
        <v>121</v>
      </c>
      <c r="I88" s="3"/>
      <c r="J88" s="3"/>
      <c r="K88" s="3">
        <v>210</v>
      </c>
      <c r="L88" s="3">
        <v>12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211</v>
      </c>
      <c r="F89" s="3">
        <f>Source!Y75</f>
        <v>6938.58</v>
      </c>
      <c r="G89" s="3" t="s">
        <v>122</v>
      </c>
      <c r="H89" s="3" t="s">
        <v>123</v>
      </c>
      <c r="I89" s="3"/>
      <c r="J89" s="3"/>
      <c r="K89" s="3">
        <v>211</v>
      </c>
      <c r="L89" s="3">
        <v>13</v>
      </c>
      <c r="M89" s="3">
        <v>3</v>
      </c>
      <c r="N89" s="3" t="s">
        <v>3</v>
      </c>
    </row>
    <row r="90" ht="12.75">
      <c r="G90">
        <v>0</v>
      </c>
    </row>
    <row r="91" spans="1:67" ht="12.75">
      <c r="A91" s="1">
        <v>4</v>
      </c>
      <c r="B91" s="1">
        <v>1</v>
      </c>
      <c r="C91" s="1"/>
      <c r="D91" s="1">
        <f>ROW(A103)</f>
        <v>103</v>
      </c>
      <c r="E91" s="1"/>
      <c r="F91" s="1" t="s">
        <v>15</v>
      </c>
      <c r="G91" s="1" t="s">
        <v>480</v>
      </c>
      <c r="H91" s="1"/>
      <c r="I91" s="1"/>
      <c r="J91" s="1"/>
      <c r="K91" s="1"/>
      <c r="L91" s="1"/>
      <c r="M91" s="1"/>
      <c r="N91" s="1" t="s">
        <v>3</v>
      </c>
      <c r="O91" s="1"/>
      <c r="P91" s="1"/>
      <c r="Q91" s="1"/>
      <c r="R91" s="1" t="s">
        <v>3</v>
      </c>
      <c r="S91" s="1" t="s">
        <v>3</v>
      </c>
      <c r="T91" s="1" t="s">
        <v>3</v>
      </c>
      <c r="U91" s="1" t="s">
        <v>3</v>
      </c>
      <c r="V91" s="1"/>
      <c r="W91" s="1"/>
      <c r="X91" s="1">
        <v>0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>
        <v>0</v>
      </c>
      <c r="AM91" s="1"/>
      <c r="AN91" s="1"/>
      <c r="AO91" s="1" t="s">
        <v>3</v>
      </c>
      <c r="AP91" s="1" t="s">
        <v>3</v>
      </c>
      <c r="AQ91" s="1" t="s">
        <v>3</v>
      </c>
      <c r="AR91" s="1"/>
      <c r="AS91" s="1"/>
      <c r="AT91" s="1" t="s">
        <v>3</v>
      </c>
      <c r="AU91" s="1" t="s">
        <v>3</v>
      </c>
      <c r="AV91" s="1" t="s">
        <v>3</v>
      </c>
      <c r="AW91" s="1" t="s">
        <v>3</v>
      </c>
      <c r="AX91" s="1" t="s">
        <v>3</v>
      </c>
      <c r="AY91" s="1" t="s">
        <v>3</v>
      </c>
      <c r="AZ91" s="1" t="s">
        <v>3</v>
      </c>
      <c r="BA91" s="1" t="s">
        <v>3</v>
      </c>
      <c r="BB91" s="1" t="s">
        <v>3</v>
      </c>
      <c r="BC91" s="1" t="s">
        <v>3</v>
      </c>
      <c r="BD91" s="1" t="s">
        <v>3</v>
      </c>
      <c r="BE91" s="1" t="s">
        <v>135</v>
      </c>
      <c r="BF91" s="1">
        <v>0</v>
      </c>
      <c r="BG91" s="1">
        <v>0</v>
      </c>
      <c r="BH91" s="1" t="s">
        <v>3</v>
      </c>
      <c r="BI91" s="1" t="s">
        <v>3</v>
      </c>
      <c r="BJ91" s="1" t="s">
        <v>3</v>
      </c>
      <c r="BK91" s="1" t="s">
        <v>3</v>
      </c>
      <c r="BL91" s="1" t="s">
        <v>3</v>
      </c>
      <c r="BM91" s="1">
        <v>0</v>
      </c>
      <c r="BN91" s="1" t="s">
        <v>3</v>
      </c>
      <c r="BO91" s="1">
        <v>0</v>
      </c>
    </row>
    <row r="93" spans="1:43" ht="12.75">
      <c r="A93" s="2">
        <v>52</v>
      </c>
      <c r="B93" s="2">
        <f aca="true" t="shared" si="67" ref="B93:AQ93">B103</f>
        <v>1</v>
      </c>
      <c r="C93" s="2">
        <f t="shared" si="67"/>
        <v>4</v>
      </c>
      <c r="D93" s="2">
        <f t="shared" si="67"/>
        <v>91</v>
      </c>
      <c r="E93" s="2">
        <f t="shared" si="67"/>
        <v>0</v>
      </c>
      <c r="F93" s="2" t="str">
        <f t="shared" si="67"/>
        <v>Новый раздел</v>
      </c>
      <c r="G93" s="2" t="str">
        <f t="shared" si="67"/>
        <v>Внутридворовая территория около д. 41</v>
      </c>
      <c r="H93" s="2">
        <f t="shared" si="67"/>
        <v>0</v>
      </c>
      <c r="I93" s="2">
        <f t="shared" si="67"/>
        <v>0</v>
      </c>
      <c r="J93" s="2">
        <f t="shared" si="67"/>
        <v>0</v>
      </c>
      <c r="K93" s="2">
        <f t="shared" si="67"/>
        <v>0</v>
      </c>
      <c r="L93" s="2">
        <f t="shared" si="67"/>
        <v>0</v>
      </c>
      <c r="M93" s="2">
        <f t="shared" si="67"/>
        <v>0</v>
      </c>
      <c r="N93" s="2">
        <f t="shared" si="67"/>
        <v>0</v>
      </c>
      <c r="O93" s="2">
        <f t="shared" si="67"/>
        <v>66194.44</v>
      </c>
      <c r="P93" s="2">
        <f t="shared" si="67"/>
        <v>16775.37</v>
      </c>
      <c r="Q93" s="2">
        <f t="shared" si="67"/>
        <v>31508.26</v>
      </c>
      <c r="R93" s="2">
        <f t="shared" si="67"/>
        <v>4145.75</v>
      </c>
      <c r="S93" s="2">
        <f t="shared" si="67"/>
        <v>17910.81</v>
      </c>
      <c r="T93" s="2">
        <f t="shared" si="67"/>
        <v>0</v>
      </c>
      <c r="U93" s="2">
        <f t="shared" si="67"/>
        <v>125.31</v>
      </c>
      <c r="V93" s="2">
        <f t="shared" si="67"/>
        <v>15.1</v>
      </c>
      <c r="W93" s="2">
        <f t="shared" si="67"/>
        <v>0</v>
      </c>
      <c r="X93" s="2">
        <f t="shared" si="67"/>
        <v>20955.24</v>
      </c>
      <c r="Y93" s="2">
        <f t="shared" si="67"/>
        <v>14296.81</v>
      </c>
      <c r="Z93" s="2">
        <f t="shared" si="67"/>
        <v>0</v>
      </c>
      <c r="AA93" s="2">
        <f t="shared" si="67"/>
        <v>0</v>
      </c>
      <c r="AB93" s="2">
        <f t="shared" si="67"/>
        <v>66194.44</v>
      </c>
      <c r="AC93" s="2">
        <f t="shared" si="67"/>
        <v>16775.37</v>
      </c>
      <c r="AD93" s="2">
        <f t="shared" si="67"/>
        <v>31508.26</v>
      </c>
      <c r="AE93" s="2">
        <f t="shared" si="67"/>
        <v>4145.75</v>
      </c>
      <c r="AF93" s="2">
        <f t="shared" si="67"/>
        <v>17910.81</v>
      </c>
      <c r="AG93" s="2">
        <f t="shared" si="67"/>
        <v>0</v>
      </c>
      <c r="AH93" s="2">
        <f t="shared" si="67"/>
        <v>125.31</v>
      </c>
      <c r="AI93" s="2">
        <f t="shared" si="67"/>
        <v>15.1</v>
      </c>
      <c r="AJ93" s="2">
        <f t="shared" si="67"/>
        <v>0</v>
      </c>
      <c r="AK93" s="2">
        <f t="shared" si="67"/>
        <v>20955.24</v>
      </c>
      <c r="AL93" s="2">
        <f t="shared" si="67"/>
        <v>14296.81</v>
      </c>
      <c r="AM93" s="2">
        <f t="shared" si="67"/>
        <v>0</v>
      </c>
      <c r="AN93" s="2">
        <f t="shared" si="67"/>
        <v>0</v>
      </c>
      <c r="AO93" s="2">
        <f t="shared" si="67"/>
        <v>0</v>
      </c>
      <c r="AP93" s="2">
        <f t="shared" si="67"/>
        <v>0</v>
      </c>
      <c r="AQ93" s="2">
        <f t="shared" si="67"/>
        <v>0</v>
      </c>
    </row>
    <row r="95" spans="1:193" ht="12.75">
      <c r="A95">
        <v>17</v>
      </c>
      <c r="B95">
        <v>1</v>
      </c>
      <c r="C95">
        <f>ROW(SmtRes!A68)</f>
        <v>68</v>
      </c>
      <c r="D95">
        <f>ROW(EtalonRes!A64)</f>
        <v>64</v>
      </c>
      <c r="E95" t="s">
        <v>136</v>
      </c>
      <c r="F95" t="s">
        <v>29</v>
      </c>
      <c r="G95" t="s">
        <v>30</v>
      </c>
      <c r="H95" t="s">
        <v>20</v>
      </c>
      <c r="I95">
        <v>8</v>
      </c>
      <c r="J95">
        <v>0</v>
      </c>
      <c r="O95">
        <f aca="true" t="shared" si="68" ref="O95:O101">ROUND(CP95,2)</f>
        <v>33876.49</v>
      </c>
      <c r="P95">
        <f aca="true" t="shared" si="69" ref="P95:P101">ROUND(CQ95*I95,2)</f>
        <v>0</v>
      </c>
      <c r="Q95">
        <f aca="true" t="shared" si="70" ref="Q95:Q101">ROUND(CR95*I95,2)</f>
        <v>31377.46</v>
      </c>
      <c r="R95">
        <f aca="true" t="shared" si="71" ref="R95:R101">ROUND(CS95*I95,2)</f>
        <v>4093.21</v>
      </c>
      <c r="S95">
        <f aca="true" t="shared" si="72" ref="S95:S101">ROUND(CT95*I95,2)</f>
        <v>2499.03</v>
      </c>
      <c r="T95">
        <f aca="true" t="shared" si="73" ref="T95:T101">ROUND(CU95*I95,2)</f>
        <v>0</v>
      </c>
      <c r="U95">
        <f aca="true" t="shared" si="74" ref="U95:U101">CV95*I95</f>
        <v>16.56</v>
      </c>
      <c r="V95">
        <f aca="true" t="shared" si="75" ref="V95:V101">CW95*I95</f>
        <v>14.88</v>
      </c>
      <c r="W95">
        <f aca="true" t="shared" si="76" ref="W95:W101">ROUND(CX95*I95,2)</f>
        <v>0</v>
      </c>
      <c r="X95">
        <f aca="true" t="shared" si="77" ref="X95:Y101">ROUND(CY95,2)</f>
        <v>5801.17</v>
      </c>
      <c r="Y95">
        <f t="shared" si="77"/>
        <v>3164.28</v>
      </c>
      <c r="AA95">
        <v>0</v>
      </c>
      <c r="AB95">
        <f aca="true" t="shared" si="78" ref="AB95:AB101">(AC95+AD95+AF95)</f>
        <v>519.71</v>
      </c>
      <c r="AC95">
        <f aca="true" t="shared" si="79" ref="AC95:AF98">(ES95)</f>
        <v>0</v>
      </c>
      <c r="AD95">
        <f t="shared" si="79"/>
        <v>502.2</v>
      </c>
      <c r="AE95">
        <f t="shared" si="79"/>
        <v>28.68</v>
      </c>
      <c r="AF95">
        <f t="shared" si="79"/>
        <v>17.51</v>
      </c>
      <c r="AG95">
        <f>(AP95)</f>
        <v>0</v>
      </c>
      <c r="AH95">
        <f aca="true" t="shared" si="80" ref="AH95:AI98">(EW95)</f>
        <v>2.07</v>
      </c>
      <c r="AI95">
        <f t="shared" si="80"/>
        <v>1.86</v>
      </c>
      <c r="AJ95">
        <f>(AS95)</f>
        <v>0</v>
      </c>
      <c r="AK95">
        <v>519.71</v>
      </c>
      <c r="AL95">
        <v>0</v>
      </c>
      <c r="AM95">
        <v>502.2</v>
      </c>
      <c r="AN95">
        <v>28.68</v>
      </c>
      <c r="AO95">
        <v>17.51</v>
      </c>
      <c r="AP95">
        <v>0</v>
      </c>
      <c r="AQ95">
        <v>2.07</v>
      </c>
      <c r="AR95">
        <v>1.86</v>
      </c>
      <c r="AS95">
        <v>0</v>
      </c>
      <c r="AT95">
        <v>88</v>
      </c>
      <c r="AU95">
        <v>48</v>
      </c>
      <c r="AV95">
        <v>1</v>
      </c>
      <c r="AW95">
        <v>1</v>
      </c>
      <c r="AX95">
        <v>1</v>
      </c>
      <c r="AY95">
        <v>1</v>
      </c>
      <c r="AZ95">
        <v>9</v>
      </c>
      <c r="BA95">
        <v>17.84</v>
      </c>
      <c r="BB95">
        <v>7.81</v>
      </c>
      <c r="BC95">
        <v>1</v>
      </c>
      <c r="BH95">
        <v>0</v>
      </c>
      <c r="BI95">
        <v>1</v>
      </c>
      <c r="BJ95" t="s">
        <v>31</v>
      </c>
      <c r="BM95">
        <v>68001</v>
      </c>
      <c r="BN95">
        <v>0</v>
      </c>
      <c r="BO95" t="s">
        <v>29</v>
      </c>
      <c r="BP95">
        <v>1</v>
      </c>
      <c r="BQ95">
        <v>6</v>
      </c>
      <c r="BR95">
        <v>0</v>
      </c>
      <c r="BS95">
        <v>17.84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104</v>
      </c>
      <c r="CA95">
        <v>60</v>
      </c>
      <c r="CF95">
        <v>0</v>
      </c>
      <c r="CG95">
        <v>0</v>
      </c>
      <c r="CM95">
        <v>0</v>
      </c>
      <c r="CO95">
        <v>0</v>
      </c>
      <c r="CP95">
        <f aca="true" t="shared" si="81" ref="CP95:CP101">(P95+Q95+S95)</f>
        <v>33876.49</v>
      </c>
      <c r="CQ95">
        <f aca="true" t="shared" si="82" ref="CQ95:CQ101">(AC95)*BC95</f>
        <v>0</v>
      </c>
      <c r="CR95">
        <f aca="true" t="shared" si="83" ref="CR95:CR101">(AD95)*BB95</f>
        <v>3922.182</v>
      </c>
      <c r="CS95">
        <f aca="true" t="shared" si="84" ref="CS95:CS101">(AE95)*BS95</f>
        <v>511.6512</v>
      </c>
      <c r="CT95">
        <f aca="true" t="shared" si="85" ref="CT95:CT101">(AF95)*BA95</f>
        <v>312.3784</v>
      </c>
      <c r="CU95">
        <f aca="true" t="shared" si="86" ref="CU95:CX101">(AG95)*BT95</f>
        <v>0</v>
      </c>
      <c r="CV95">
        <f t="shared" si="86"/>
        <v>2.07</v>
      </c>
      <c r="CW95">
        <f t="shared" si="86"/>
        <v>1.86</v>
      </c>
      <c r="CX95">
        <f t="shared" si="86"/>
        <v>0</v>
      </c>
      <c r="CY95">
        <f aca="true" t="shared" si="87" ref="CY95:CY101">((S95+R95)*(ROUND((FX95*IF(1,(IF(0,0.94,0.85)*IF(0,0.85,1)),1)),IF(1,0,2))/100))</f>
        <v>5801.1712</v>
      </c>
      <c r="CZ95">
        <f aca="true" t="shared" si="88" ref="CZ95:CZ101">((S95+R95)*(ROUND((FY95*IF(1,0.8,1)),IF(1,0,2))/100))</f>
        <v>3164.2751999999996</v>
      </c>
      <c r="DN95">
        <v>0</v>
      </c>
      <c r="DO95">
        <v>0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1010</v>
      </c>
      <c r="DV95" t="s">
        <v>20</v>
      </c>
      <c r="DW95" t="s">
        <v>22</v>
      </c>
      <c r="DX95">
        <v>1</v>
      </c>
      <c r="EE95">
        <v>26519323</v>
      </c>
      <c r="EF95">
        <v>6</v>
      </c>
      <c r="EG95" t="s">
        <v>23</v>
      </c>
      <c r="EH95">
        <v>0</v>
      </c>
      <c r="EJ95">
        <v>1</v>
      </c>
      <c r="EK95">
        <v>68001</v>
      </c>
      <c r="EL95" t="s">
        <v>24</v>
      </c>
      <c r="EM95" t="s">
        <v>25</v>
      </c>
      <c r="EQ95">
        <v>0</v>
      </c>
      <c r="ER95">
        <v>519.71</v>
      </c>
      <c r="ES95">
        <v>0</v>
      </c>
      <c r="ET95">
        <v>502.2</v>
      </c>
      <c r="EU95">
        <v>28.68</v>
      </c>
      <c r="EV95">
        <v>17.51</v>
      </c>
      <c r="EW95">
        <v>2.07</v>
      </c>
      <c r="EX95">
        <v>1.86</v>
      </c>
      <c r="EY95">
        <v>0</v>
      </c>
      <c r="EZ95">
        <v>0</v>
      </c>
      <c r="FQ95">
        <v>0</v>
      </c>
      <c r="FR95">
        <f aca="true" t="shared" si="89" ref="FR95:FR101">ROUND(IF(AND(AA95=0,BI95=3),P95,0),2)</f>
        <v>0</v>
      </c>
      <c r="FS95">
        <v>0</v>
      </c>
      <c r="FV95" t="s">
        <v>26</v>
      </c>
      <c r="FW95" t="s">
        <v>27</v>
      </c>
      <c r="FX95">
        <v>104</v>
      </c>
      <c r="FY95">
        <v>60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</row>
    <row r="96" spans="1:193" ht="12.75">
      <c r="A96">
        <v>17</v>
      </c>
      <c r="B96">
        <v>1</v>
      </c>
      <c r="E96" t="s">
        <v>137</v>
      </c>
      <c r="F96" t="s">
        <v>37</v>
      </c>
      <c r="G96" t="s">
        <v>38</v>
      </c>
      <c r="H96" t="s">
        <v>39</v>
      </c>
      <c r="I96">
        <v>0.1</v>
      </c>
      <c r="J96">
        <v>0</v>
      </c>
      <c r="O96">
        <f t="shared" si="68"/>
        <v>7.4</v>
      </c>
      <c r="P96">
        <f t="shared" si="69"/>
        <v>0</v>
      </c>
      <c r="Q96">
        <f t="shared" si="70"/>
        <v>0</v>
      </c>
      <c r="R96">
        <f t="shared" si="71"/>
        <v>0</v>
      </c>
      <c r="S96">
        <f t="shared" si="72"/>
        <v>7.4</v>
      </c>
      <c r="T96">
        <f t="shared" si="73"/>
        <v>0</v>
      </c>
      <c r="U96">
        <f t="shared" si="74"/>
        <v>0</v>
      </c>
      <c r="V96">
        <f t="shared" si="75"/>
        <v>0</v>
      </c>
      <c r="W96">
        <f t="shared" si="76"/>
        <v>0</v>
      </c>
      <c r="X96">
        <f t="shared" si="77"/>
        <v>6.29</v>
      </c>
      <c r="Y96">
        <f t="shared" si="77"/>
        <v>3.55</v>
      </c>
      <c r="AA96">
        <v>0</v>
      </c>
      <c r="AB96">
        <f t="shared" si="78"/>
        <v>4.15</v>
      </c>
      <c r="AC96">
        <f t="shared" si="79"/>
        <v>0</v>
      </c>
      <c r="AD96">
        <f t="shared" si="79"/>
        <v>0</v>
      </c>
      <c r="AE96">
        <f t="shared" si="79"/>
        <v>0</v>
      </c>
      <c r="AF96">
        <f t="shared" si="79"/>
        <v>4.15</v>
      </c>
      <c r="AG96">
        <f>(AP96)</f>
        <v>0</v>
      </c>
      <c r="AH96">
        <f t="shared" si="80"/>
        <v>0</v>
      </c>
      <c r="AI96">
        <f t="shared" si="80"/>
        <v>0</v>
      </c>
      <c r="AJ96">
        <f>(AS96)</f>
        <v>0</v>
      </c>
      <c r="AK96">
        <v>4.15</v>
      </c>
      <c r="AL96">
        <v>0</v>
      </c>
      <c r="AM96">
        <v>0</v>
      </c>
      <c r="AN96">
        <v>0</v>
      </c>
      <c r="AO96">
        <v>4.15</v>
      </c>
      <c r="AP96">
        <v>0</v>
      </c>
      <c r="AQ96">
        <v>0</v>
      </c>
      <c r="AR96">
        <v>0</v>
      </c>
      <c r="AS96">
        <v>0</v>
      </c>
      <c r="AT96">
        <v>85</v>
      </c>
      <c r="AU96">
        <v>48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17.84</v>
      </c>
      <c r="BB96">
        <v>1</v>
      </c>
      <c r="BC96">
        <v>1</v>
      </c>
      <c r="BH96">
        <v>3</v>
      </c>
      <c r="BI96">
        <v>4</v>
      </c>
      <c r="BM96">
        <v>0</v>
      </c>
      <c r="BN96">
        <v>0</v>
      </c>
      <c r="BP96">
        <v>0</v>
      </c>
      <c r="BQ96">
        <v>1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100</v>
      </c>
      <c r="CA96">
        <v>60</v>
      </c>
      <c r="CF96">
        <v>0</v>
      </c>
      <c r="CG96">
        <v>0</v>
      </c>
      <c r="CM96">
        <v>0</v>
      </c>
      <c r="CO96">
        <v>0</v>
      </c>
      <c r="CP96">
        <f t="shared" si="81"/>
        <v>7.4</v>
      </c>
      <c r="CQ96">
        <f t="shared" si="82"/>
        <v>0</v>
      </c>
      <c r="CR96">
        <f t="shared" si="83"/>
        <v>0</v>
      </c>
      <c r="CS96">
        <f t="shared" si="84"/>
        <v>0</v>
      </c>
      <c r="CT96">
        <f t="shared" si="85"/>
        <v>74.036</v>
      </c>
      <c r="CU96">
        <f t="shared" si="86"/>
        <v>0</v>
      </c>
      <c r="CV96">
        <f t="shared" si="86"/>
        <v>0</v>
      </c>
      <c r="CW96">
        <f t="shared" si="86"/>
        <v>0</v>
      </c>
      <c r="CX96">
        <f t="shared" si="86"/>
        <v>0</v>
      </c>
      <c r="CY96">
        <f t="shared" si="87"/>
        <v>6.29</v>
      </c>
      <c r="CZ96">
        <f t="shared" si="88"/>
        <v>3.552</v>
      </c>
      <c r="DN96">
        <v>0</v>
      </c>
      <c r="DO96">
        <v>0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1009</v>
      </c>
      <c r="DV96" t="s">
        <v>39</v>
      </c>
      <c r="DW96" t="s">
        <v>39</v>
      </c>
      <c r="DX96">
        <v>1000</v>
      </c>
      <c r="EE96">
        <v>26519138</v>
      </c>
      <c r="EF96">
        <v>1</v>
      </c>
      <c r="EG96" t="s">
        <v>40</v>
      </c>
      <c r="EH96">
        <v>0</v>
      </c>
      <c r="EJ96">
        <v>4</v>
      </c>
      <c r="EK96">
        <v>0</v>
      </c>
      <c r="EL96" t="s">
        <v>40</v>
      </c>
      <c r="EM96" t="s">
        <v>41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4.15</v>
      </c>
      <c r="EW96">
        <v>0</v>
      </c>
      <c r="EX96">
        <v>0</v>
      </c>
      <c r="EY96">
        <v>0</v>
      </c>
      <c r="EZ96">
        <v>0</v>
      </c>
      <c r="FQ96">
        <v>0</v>
      </c>
      <c r="FR96">
        <f t="shared" si="89"/>
        <v>0</v>
      </c>
      <c r="FS96">
        <v>0</v>
      </c>
      <c r="FV96" t="s">
        <v>26</v>
      </c>
      <c r="FW96" t="s">
        <v>27</v>
      </c>
      <c r="FX96">
        <v>100</v>
      </c>
      <c r="FY96">
        <v>60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1</v>
      </c>
    </row>
    <row r="97" spans="1:193" ht="12.75">
      <c r="A97">
        <v>17</v>
      </c>
      <c r="B97">
        <v>1</v>
      </c>
      <c r="E97" t="s">
        <v>138</v>
      </c>
      <c r="F97" t="s">
        <v>37</v>
      </c>
      <c r="G97" t="s">
        <v>43</v>
      </c>
      <c r="H97" t="s">
        <v>39</v>
      </c>
      <c r="I97">
        <v>0.1</v>
      </c>
      <c r="J97">
        <v>0</v>
      </c>
      <c r="O97">
        <f t="shared" si="68"/>
        <v>7.78</v>
      </c>
      <c r="P97">
        <f t="shared" si="69"/>
        <v>0</v>
      </c>
      <c r="Q97">
        <f t="shared" si="70"/>
        <v>7.78</v>
      </c>
      <c r="R97">
        <f t="shared" si="71"/>
        <v>0</v>
      </c>
      <c r="S97">
        <f t="shared" si="72"/>
        <v>0</v>
      </c>
      <c r="T97">
        <f t="shared" si="73"/>
        <v>0</v>
      </c>
      <c r="U97">
        <f t="shared" si="74"/>
        <v>0</v>
      </c>
      <c r="V97">
        <f t="shared" si="75"/>
        <v>0</v>
      </c>
      <c r="W97">
        <f t="shared" si="76"/>
        <v>0</v>
      </c>
      <c r="X97">
        <f t="shared" si="77"/>
        <v>0</v>
      </c>
      <c r="Y97">
        <f t="shared" si="77"/>
        <v>0</v>
      </c>
      <c r="AA97">
        <v>0</v>
      </c>
      <c r="AB97">
        <f t="shared" si="78"/>
        <v>14.63</v>
      </c>
      <c r="AC97">
        <f t="shared" si="79"/>
        <v>0</v>
      </c>
      <c r="AD97">
        <f t="shared" si="79"/>
        <v>14.63</v>
      </c>
      <c r="AE97">
        <f t="shared" si="79"/>
        <v>0</v>
      </c>
      <c r="AF97">
        <f t="shared" si="79"/>
        <v>0</v>
      </c>
      <c r="AG97">
        <f>(AP97)</f>
        <v>0</v>
      </c>
      <c r="AH97">
        <f t="shared" si="80"/>
        <v>0</v>
      </c>
      <c r="AI97">
        <f t="shared" si="80"/>
        <v>0</v>
      </c>
      <c r="AJ97">
        <f>(AS97)</f>
        <v>0</v>
      </c>
      <c r="AK97">
        <v>14.63</v>
      </c>
      <c r="AL97">
        <v>0</v>
      </c>
      <c r="AM97">
        <v>14.63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5.32</v>
      </c>
      <c r="BC97">
        <v>1</v>
      </c>
      <c r="BH97">
        <v>3</v>
      </c>
      <c r="BI97">
        <v>4</v>
      </c>
      <c r="BM97">
        <v>0</v>
      </c>
      <c r="BN97">
        <v>0</v>
      </c>
      <c r="BP97">
        <v>0</v>
      </c>
      <c r="BQ97">
        <v>1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0</v>
      </c>
      <c r="CA97">
        <v>0</v>
      </c>
      <c r="CF97">
        <v>0</v>
      </c>
      <c r="CG97">
        <v>0</v>
      </c>
      <c r="CM97">
        <v>0</v>
      </c>
      <c r="CO97">
        <v>0</v>
      </c>
      <c r="CP97">
        <f t="shared" si="81"/>
        <v>7.78</v>
      </c>
      <c r="CQ97">
        <f t="shared" si="82"/>
        <v>0</v>
      </c>
      <c r="CR97">
        <f t="shared" si="83"/>
        <v>77.83160000000001</v>
      </c>
      <c r="CS97">
        <f t="shared" si="84"/>
        <v>0</v>
      </c>
      <c r="CT97">
        <f t="shared" si="85"/>
        <v>0</v>
      </c>
      <c r="CU97">
        <f t="shared" si="86"/>
        <v>0</v>
      </c>
      <c r="CV97">
        <f t="shared" si="86"/>
        <v>0</v>
      </c>
      <c r="CW97">
        <f t="shared" si="86"/>
        <v>0</v>
      </c>
      <c r="CX97">
        <f t="shared" si="86"/>
        <v>0</v>
      </c>
      <c r="CY97">
        <f t="shared" si="87"/>
        <v>0</v>
      </c>
      <c r="CZ97">
        <f t="shared" si="88"/>
        <v>0</v>
      </c>
      <c r="DN97">
        <v>0</v>
      </c>
      <c r="DO97">
        <v>0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1009</v>
      </c>
      <c r="DV97" t="s">
        <v>39</v>
      </c>
      <c r="DW97" t="s">
        <v>39</v>
      </c>
      <c r="DX97">
        <v>1000</v>
      </c>
      <c r="EE97">
        <v>26519138</v>
      </c>
      <c r="EF97">
        <v>1</v>
      </c>
      <c r="EG97" t="s">
        <v>40</v>
      </c>
      <c r="EH97">
        <v>0</v>
      </c>
      <c r="EJ97">
        <v>4</v>
      </c>
      <c r="EK97">
        <v>0</v>
      </c>
      <c r="EL97" t="s">
        <v>40</v>
      </c>
      <c r="EM97" t="s">
        <v>41</v>
      </c>
      <c r="EQ97">
        <v>0</v>
      </c>
      <c r="ER97">
        <v>0</v>
      </c>
      <c r="ES97">
        <v>0</v>
      </c>
      <c r="ET97">
        <v>14.63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Q97">
        <v>0</v>
      </c>
      <c r="FR97">
        <f t="shared" si="89"/>
        <v>0</v>
      </c>
      <c r="FS97">
        <v>0</v>
      </c>
      <c r="FV97" t="s">
        <v>26</v>
      </c>
      <c r="FW97" t="s">
        <v>27</v>
      </c>
      <c r="FX97">
        <v>0</v>
      </c>
      <c r="FY97">
        <v>0</v>
      </c>
      <c r="GA97">
        <v>14.63</v>
      </c>
      <c r="GB97">
        <v>0</v>
      </c>
      <c r="GC97">
        <v>14.63</v>
      </c>
      <c r="GD97">
        <v>0</v>
      </c>
      <c r="GE97">
        <v>0</v>
      </c>
      <c r="GF97">
        <v>14.63</v>
      </c>
      <c r="GG97">
        <v>0</v>
      </c>
      <c r="GH97">
        <v>14.63</v>
      </c>
      <c r="GI97">
        <v>0</v>
      </c>
      <c r="GJ97">
        <v>0</v>
      </c>
      <c r="GK97">
        <v>1</v>
      </c>
    </row>
    <row r="98" spans="1:193" ht="12.75">
      <c r="A98">
        <v>17</v>
      </c>
      <c r="B98">
        <v>1</v>
      </c>
      <c r="C98">
        <f>ROW(SmtRes!A75)</f>
        <v>75</v>
      </c>
      <c r="D98">
        <f>ROW(EtalonRes!A69)</f>
        <v>69</v>
      </c>
      <c r="E98" t="s">
        <v>139</v>
      </c>
      <c r="F98" t="s">
        <v>83</v>
      </c>
      <c r="G98" t="s">
        <v>84</v>
      </c>
      <c r="H98" t="s">
        <v>65</v>
      </c>
      <c r="I98">
        <v>3.1</v>
      </c>
      <c r="J98">
        <v>0</v>
      </c>
      <c r="O98">
        <f t="shared" si="68"/>
        <v>42084.81</v>
      </c>
      <c r="P98">
        <f t="shared" si="69"/>
        <v>26557.41</v>
      </c>
      <c r="Q98">
        <f t="shared" si="70"/>
        <v>123.02</v>
      </c>
      <c r="R98">
        <f t="shared" si="71"/>
        <v>52.54</v>
      </c>
      <c r="S98">
        <f t="shared" si="72"/>
        <v>15404.38</v>
      </c>
      <c r="T98">
        <f t="shared" si="73"/>
        <v>0</v>
      </c>
      <c r="U98">
        <f t="shared" si="74"/>
        <v>108.748</v>
      </c>
      <c r="V98">
        <f t="shared" si="75"/>
        <v>0.21700000000000003</v>
      </c>
      <c r="W98">
        <f t="shared" si="76"/>
        <v>0</v>
      </c>
      <c r="X98">
        <f t="shared" si="77"/>
        <v>15147.78</v>
      </c>
      <c r="Y98">
        <f t="shared" si="77"/>
        <v>11128.98</v>
      </c>
      <c r="AA98">
        <v>0</v>
      </c>
      <c r="AB98">
        <f t="shared" si="78"/>
        <v>2263.61</v>
      </c>
      <c r="AC98">
        <f t="shared" si="79"/>
        <v>1978.5</v>
      </c>
      <c r="AD98">
        <f t="shared" si="79"/>
        <v>6.57</v>
      </c>
      <c r="AE98">
        <f t="shared" si="79"/>
        <v>0.95</v>
      </c>
      <c r="AF98">
        <f t="shared" si="79"/>
        <v>278.54</v>
      </c>
      <c r="AG98">
        <f>(AP98)</f>
        <v>0</v>
      </c>
      <c r="AH98">
        <f t="shared" si="80"/>
        <v>35.08</v>
      </c>
      <c r="AI98">
        <f t="shared" si="80"/>
        <v>0.07</v>
      </c>
      <c r="AJ98">
        <f>(AS98)</f>
        <v>0</v>
      </c>
      <c r="AK98">
        <v>2263.61</v>
      </c>
      <c r="AL98">
        <v>1978.5</v>
      </c>
      <c r="AM98">
        <v>6.57</v>
      </c>
      <c r="AN98">
        <v>0.95</v>
      </c>
      <c r="AO98">
        <v>278.54</v>
      </c>
      <c r="AP98">
        <v>0</v>
      </c>
      <c r="AQ98">
        <v>35.08</v>
      </c>
      <c r="AR98">
        <v>0.07</v>
      </c>
      <c r="AS98">
        <v>0</v>
      </c>
      <c r="AT98">
        <v>98</v>
      </c>
      <c r="AU98">
        <v>72</v>
      </c>
      <c r="AV98">
        <v>1</v>
      </c>
      <c r="AW98">
        <v>1</v>
      </c>
      <c r="AX98">
        <v>1</v>
      </c>
      <c r="AY98">
        <v>1</v>
      </c>
      <c r="AZ98">
        <v>7.77</v>
      </c>
      <c r="BA98">
        <v>17.84</v>
      </c>
      <c r="BB98">
        <v>6.04</v>
      </c>
      <c r="BC98">
        <v>4.33</v>
      </c>
      <c r="BH98">
        <v>0</v>
      </c>
      <c r="BI98">
        <v>1</v>
      </c>
      <c r="BJ98" t="s">
        <v>85</v>
      </c>
      <c r="BM98">
        <v>47001</v>
      </c>
      <c r="BN98">
        <v>0</v>
      </c>
      <c r="BO98" t="s">
        <v>83</v>
      </c>
      <c r="BP98">
        <v>1</v>
      </c>
      <c r="BQ98">
        <v>2</v>
      </c>
      <c r="BR98">
        <v>0</v>
      </c>
      <c r="BS98">
        <v>17.84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115</v>
      </c>
      <c r="CA98">
        <v>90</v>
      </c>
      <c r="CF98">
        <v>0</v>
      </c>
      <c r="CG98">
        <v>0</v>
      </c>
      <c r="CM98">
        <v>0</v>
      </c>
      <c r="CO98">
        <v>0</v>
      </c>
      <c r="CP98">
        <f t="shared" si="81"/>
        <v>42084.81</v>
      </c>
      <c r="CQ98">
        <f t="shared" si="82"/>
        <v>8566.905</v>
      </c>
      <c r="CR98">
        <f t="shared" si="83"/>
        <v>39.6828</v>
      </c>
      <c r="CS98">
        <f t="shared" si="84"/>
        <v>16.948</v>
      </c>
      <c r="CT98">
        <f t="shared" si="85"/>
        <v>4969.153600000001</v>
      </c>
      <c r="CU98">
        <f t="shared" si="86"/>
        <v>0</v>
      </c>
      <c r="CV98">
        <f t="shared" si="86"/>
        <v>35.08</v>
      </c>
      <c r="CW98">
        <f t="shared" si="86"/>
        <v>0.07</v>
      </c>
      <c r="CX98">
        <f t="shared" si="86"/>
        <v>0</v>
      </c>
      <c r="CY98">
        <f t="shared" si="87"/>
        <v>15147.7816</v>
      </c>
      <c r="CZ98">
        <f t="shared" si="88"/>
        <v>11128.982399999999</v>
      </c>
      <c r="DN98">
        <v>0</v>
      </c>
      <c r="DO98">
        <v>0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1005</v>
      </c>
      <c r="DV98" t="s">
        <v>65</v>
      </c>
      <c r="DW98" t="s">
        <v>65</v>
      </c>
      <c r="DX98">
        <v>100</v>
      </c>
      <c r="EE98">
        <v>26519266</v>
      </c>
      <c r="EF98">
        <v>2</v>
      </c>
      <c r="EG98" t="s">
        <v>58</v>
      </c>
      <c r="EH98">
        <v>0</v>
      </c>
      <c r="EJ98">
        <v>1</v>
      </c>
      <c r="EK98">
        <v>47001</v>
      </c>
      <c r="EL98" t="s">
        <v>86</v>
      </c>
      <c r="EM98" t="s">
        <v>87</v>
      </c>
      <c r="EQ98">
        <v>0</v>
      </c>
      <c r="ER98">
        <v>2263.61</v>
      </c>
      <c r="ES98">
        <v>1978.5</v>
      </c>
      <c r="ET98">
        <v>6.57</v>
      </c>
      <c r="EU98">
        <v>0.95</v>
      </c>
      <c r="EV98">
        <v>278.54</v>
      </c>
      <c r="EW98">
        <v>35.08</v>
      </c>
      <c r="EX98">
        <v>0.07</v>
      </c>
      <c r="EY98">
        <v>0</v>
      </c>
      <c r="EZ98">
        <v>0</v>
      </c>
      <c r="FQ98">
        <v>0</v>
      </c>
      <c r="FR98">
        <f t="shared" si="89"/>
        <v>0</v>
      </c>
      <c r="FS98">
        <v>0</v>
      </c>
      <c r="FV98" t="s">
        <v>26</v>
      </c>
      <c r="FW98" t="s">
        <v>27</v>
      </c>
      <c r="FX98">
        <v>115</v>
      </c>
      <c r="FY98">
        <v>90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</row>
    <row r="99" spans="1:193" ht="12.75">
      <c r="A99">
        <v>18</v>
      </c>
      <c r="B99">
        <v>1</v>
      </c>
      <c r="C99">
        <v>73</v>
      </c>
      <c r="E99" t="s">
        <v>140</v>
      </c>
      <c r="F99" t="s">
        <v>89</v>
      </c>
      <c r="G99" t="s">
        <v>90</v>
      </c>
      <c r="H99" t="s">
        <v>91</v>
      </c>
      <c r="I99">
        <f>I98*J99</f>
        <v>-46.5</v>
      </c>
      <c r="J99">
        <v>-15</v>
      </c>
      <c r="O99">
        <f t="shared" si="68"/>
        <v>-26557.41</v>
      </c>
      <c r="P99">
        <f t="shared" si="69"/>
        <v>-26557.41</v>
      </c>
      <c r="Q99">
        <f t="shared" si="70"/>
        <v>0</v>
      </c>
      <c r="R99">
        <f t="shared" si="71"/>
        <v>0</v>
      </c>
      <c r="S99">
        <f t="shared" si="72"/>
        <v>0</v>
      </c>
      <c r="T99">
        <f t="shared" si="73"/>
        <v>0</v>
      </c>
      <c r="U99">
        <f t="shared" si="74"/>
        <v>0</v>
      </c>
      <c r="V99">
        <f t="shared" si="75"/>
        <v>0</v>
      </c>
      <c r="W99">
        <f t="shared" si="76"/>
        <v>0</v>
      </c>
      <c r="X99">
        <f t="shared" si="77"/>
        <v>0</v>
      </c>
      <c r="Y99">
        <f t="shared" si="77"/>
        <v>0</v>
      </c>
      <c r="AA99">
        <v>0</v>
      </c>
      <c r="AB99">
        <f t="shared" si="78"/>
        <v>131.9</v>
      </c>
      <c r="AC99">
        <f aca="true" t="shared" si="90" ref="AC99:AJ101">AL99</f>
        <v>131.9</v>
      </c>
      <c r="AD99">
        <f t="shared" si="90"/>
        <v>0</v>
      </c>
      <c r="AE99">
        <f t="shared" si="90"/>
        <v>0</v>
      </c>
      <c r="AF99">
        <f t="shared" si="90"/>
        <v>0</v>
      </c>
      <c r="AG99">
        <f t="shared" si="90"/>
        <v>0</v>
      </c>
      <c r="AH99">
        <f t="shared" si="90"/>
        <v>0</v>
      </c>
      <c r="AI99">
        <f t="shared" si="90"/>
        <v>0</v>
      </c>
      <c r="AJ99">
        <f t="shared" si="90"/>
        <v>0</v>
      </c>
      <c r="AK99">
        <v>131.9</v>
      </c>
      <c r="AL99">
        <v>131.9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98</v>
      </c>
      <c r="AU99">
        <v>72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4.33</v>
      </c>
      <c r="BH99">
        <v>3</v>
      </c>
      <c r="BI99">
        <v>1</v>
      </c>
      <c r="BJ99" t="s">
        <v>92</v>
      </c>
      <c r="BM99">
        <v>47001</v>
      </c>
      <c r="BN99">
        <v>0</v>
      </c>
      <c r="BO99" t="s">
        <v>89</v>
      </c>
      <c r="BP99">
        <v>1</v>
      </c>
      <c r="BQ99">
        <v>2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115</v>
      </c>
      <c r="CA99">
        <v>90</v>
      </c>
      <c r="CF99">
        <v>0</v>
      </c>
      <c r="CG99">
        <v>0</v>
      </c>
      <c r="CM99">
        <v>0</v>
      </c>
      <c r="CO99">
        <v>0</v>
      </c>
      <c r="CP99">
        <f t="shared" si="81"/>
        <v>-26557.41</v>
      </c>
      <c r="CQ99">
        <f t="shared" si="82"/>
        <v>571.1270000000001</v>
      </c>
      <c r="CR99">
        <f t="shared" si="83"/>
        <v>0</v>
      </c>
      <c r="CS99">
        <f t="shared" si="84"/>
        <v>0</v>
      </c>
      <c r="CT99">
        <f t="shared" si="85"/>
        <v>0</v>
      </c>
      <c r="CU99">
        <f t="shared" si="86"/>
        <v>0</v>
      </c>
      <c r="CV99">
        <f t="shared" si="86"/>
        <v>0</v>
      </c>
      <c r="CW99">
        <f t="shared" si="86"/>
        <v>0</v>
      </c>
      <c r="CX99">
        <f t="shared" si="86"/>
        <v>0</v>
      </c>
      <c r="CY99">
        <f t="shared" si="87"/>
        <v>0</v>
      </c>
      <c r="CZ99">
        <f t="shared" si="88"/>
        <v>0</v>
      </c>
      <c r="DN99">
        <v>0</v>
      </c>
      <c r="DO99">
        <v>0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1007</v>
      </c>
      <c r="DV99" t="s">
        <v>91</v>
      </c>
      <c r="DW99" t="s">
        <v>91</v>
      </c>
      <c r="DX99">
        <v>1</v>
      </c>
      <c r="EE99">
        <v>26519266</v>
      </c>
      <c r="EF99">
        <v>2</v>
      </c>
      <c r="EG99" t="s">
        <v>58</v>
      </c>
      <c r="EH99">
        <v>0</v>
      </c>
      <c r="EJ99">
        <v>1</v>
      </c>
      <c r="EK99">
        <v>47001</v>
      </c>
      <c r="EL99" t="s">
        <v>86</v>
      </c>
      <c r="EM99" t="s">
        <v>87</v>
      </c>
      <c r="EQ99">
        <v>0</v>
      </c>
      <c r="ER99">
        <v>131.9</v>
      </c>
      <c r="ES99">
        <v>131.9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0</v>
      </c>
      <c r="FQ99">
        <v>0</v>
      </c>
      <c r="FR99">
        <f t="shared" si="89"/>
        <v>0</v>
      </c>
      <c r="FS99">
        <v>0</v>
      </c>
      <c r="FV99" t="s">
        <v>26</v>
      </c>
      <c r="FW99" t="s">
        <v>27</v>
      </c>
      <c r="FX99">
        <v>115</v>
      </c>
      <c r="FY99">
        <v>90</v>
      </c>
      <c r="GA99">
        <v>131.9</v>
      </c>
      <c r="GB99">
        <v>131.9</v>
      </c>
      <c r="GC99">
        <v>0</v>
      </c>
      <c r="GD99">
        <v>0</v>
      </c>
      <c r="GE99">
        <v>0</v>
      </c>
      <c r="GF99">
        <v>131.9</v>
      </c>
      <c r="GG99">
        <v>131.9</v>
      </c>
      <c r="GH99">
        <v>0</v>
      </c>
      <c r="GI99">
        <v>0</v>
      </c>
      <c r="GJ99">
        <v>0</v>
      </c>
      <c r="GK99">
        <v>0</v>
      </c>
    </row>
    <row r="100" spans="1:193" ht="12.75">
      <c r="A100">
        <v>18</v>
      </c>
      <c r="B100">
        <v>1</v>
      </c>
      <c r="C100">
        <v>74</v>
      </c>
      <c r="E100" t="s">
        <v>141</v>
      </c>
      <c r="F100" t="s">
        <v>89</v>
      </c>
      <c r="G100" t="s">
        <v>90</v>
      </c>
      <c r="H100" t="s">
        <v>91</v>
      </c>
      <c r="I100">
        <f>I98*J100</f>
        <v>15.5</v>
      </c>
      <c r="J100">
        <v>5</v>
      </c>
      <c r="O100">
        <f t="shared" si="68"/>
        <v>8852.47</v>
      </c>
      <c r="P100">
        <f t="shared" si="69"/>
        <v>8852.47</v>
      </c>
      <c r="Q100">
        <f t="shared" si="70"/>
        <v>0</v>
      </c>
      <c r="R100">
        <f t="shared" si="71"/>
        <v>0</v>
      </c>
      <c r="S100">
        <f t="shared" si="72"/>
        <v>0</v>
      </c>
      <c r="T100">
        <f t="shared" si="73"/>
        <v>0</v>
      </c>
      <c r="U100">
        <f t="shared" si="74"/>
        <v>0</v>
      </c>
      <c r="V100">
        <f t="shared" si="75"/>
        <v>0</v>
      </c>
      <c r="W100">
        <f t="shared" si="76"/>
        <v>0</v>
      </c>
      <c r="X100">
        <f t="shared" si="77"/>
        <v>0</v>
      </c>
      <c r="Y100">
        <f t="shared" si="77"/>
        <v>0</v>
      </c>
      <c r="AA100">
        <v>0</v>
      </c>
      <c r="AB100">
        <f t="shared" si="78"/>
        <v>131.9</v>
      </c>
      <c r="AC100">
        <f t="shared" si="90"/>
        <v>131.9</v>
      </c>
      <c r="AD100">
        <f t="shared" si="90"/>
        <v>0</v>
      </c>
      <c r="AE100">
        <f t="shared" si="90"/>
        <v>0</v>
      </c>
      <c r="AF100">
        <f t="shared" si="90"/>
        <v>0</v>
      </c>
      <c r="AG100">
        <f t="shared" si="90"/>
        <v>0</v>
      </c>
      <c r="AH100">
        <f t="shared" si="90"/>
        <v>0</v>
      </c>
      <c r="AI100">
        <f t="shared" si="90"/>
        <v>0</v>
      </c>
      <c r="AJ100">
        <f t="shared" si="90"/>
        <v>0</v>
      </c>
      <c r="AK100">
        <v>131.9</v>
      </c>
      <c r="AL100">
        <v>131.9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98</v>
      </c>
      <c r="AU100">
        <v>72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4.33</v>
      </c>
      <c r="BH100">
        <v>3</v>
      </c>
      <c r="BI100">
        <v>1</v>
      </c>
      <c r="BJ100" t="s">
        <v>92</v>
      </c>
      <c r="BM100">
        <v>47001</v>
      </c>
      <c r="BN100">
        <v>0</v>
      </c>
      <c r="BO100" t="s">
        <v>89</v>
      </c>
      <c r="BP100">
        <v>1</v>
      </c>
      <c r="BQ100">
        <v>2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115</v>
      </c>
      <c r="CA100">
        <v>90</v>
      </c>
      <c r="CF100">
        <v>0</v>
      </c>
      <c r="CG100">
        <v>0</v>
      </c>
      <c r="CM100">
        <v>0</v>
      </c>
      <c r="CO100">
        <v>0</v>
      </c>
      <c r="CP100">
        <f t="shared" si="81"/>
        <v>8852.47</v>
      </c>
      <c r="CQ100">
        <f t="shared" si="82"/>
        <v>571.1270000000001</v>
      </c>
      <c r="CR100">
        <f t="shared" si="83"/>
        <v>0</v>
      </c>
      <c r="CS100">
        <f t="shared" si="84"/>
        <v>0</v>
      </c>
      <c r="CT100">
        <f t="shared" si="85"/>
        <v>0</v>
      </c>
      <c r="CU100">
        <f t="shared" si="86"/>
        <v>0</v>
      </c>
      <c r="CV100">
        <f t="shared" si="86"/>
        <v>0</v>
      </c>
      <c r="CW100">
        <f t="shared" si="86"/>
        <v>0</v>
      </c>
      <c r="CX100">
        <f t="shared" si="86"/>
        <v>0</v>
      </c>
      <c r="CY100">
        <f t="shared" si="87"/>
        <v>0</v>
      </c>
      <c r="CZ100">
        <f t="shared" si="88"/>
        <v>0</v>
      </c>
      <c r="DN100">
        <v>0</v>
      </c>
      <c r="DO100">
        <v>0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1007</v>
      </c>
      <c r="DV100" t="s">
        <v>91</v>
      </c>
      <c r="DW100" t="s">
        <v>91</v>
      </c>
      <c r="DX100">
        <v>1</v>
      </c>
      <c r="EE100">
        <v>26519266</v>
      </c>
      <c r="EF100">
        <v>2</v>
      </c>
      <c r="EG100" t="s">
        <v>58</v>
      </c>
      <c r="EH100">
        <v>0</v>
      </c>
      <c r="EJ100">
        <v>1</v>
      </c>
      <c r="EK100">
        <v>47001</v>
      </c>
      <c r="EL100" t="s">
        <v>86</v>
      </c>
      <c r="EM100" t="s">
        <v>87</v>
      </c>
      <c r="EQ100">
        <v>0</v>
      </c>
      <c r="ER100">
        <v>131.9</v>
      </c>
      <c r="ES100">
        <v>131.9</v>
      </c>
      <c r="ET100">
        <v>0</v>
      </c>
      <c r="EU100">
        <v>0</v>
      </c>
      <c r="EV100">
        <v>0</v>
      </c>
      <c r="EW100">
        <v>0</v>
      </c>
      <c r="EX100">
        <v>0</v>
      </c>
      <c r="EZ100">
        <v>0</v>
      </c>
      <c r="FQ100">
        <v>0</v>
      </c>
      <c r="FR100">
        <f t="shared" si="89"/>
        <v>0</v>
      </c>
      <c r="FS100">
        <v>0</v>
      </c>
      <c r="FV100" t="s">
        <v>26</v>
      </c>
      <c r="FW100" t="s">
        <v>27</v>
      </c>
      <c r="FX100">
        <v>115</v>
      </c>
      <c r="FY100">
        <v>90</v>
      </c>
      <c r="GA100">
        <v>131.9</v>
      </c>
      <c r="GB100">
        <v>131.9</v>
      </c>
      <c r="GC100">
        <v>0</v>
      </c>
      <c r="GD100">
        <v>0</v>
      </c>
      <c r="GE100">
        <v>0</v>
      </c>
      <c r="GF100">
        <v>131.9</v>
      </c>
      <c r="GG100">
        <v>131.9</v>
      </c>
      <c r="GH100">
        <v>0</v>
      </c>
      <c r="GI100">
        <v>0</v>
      </c>
      <c r="GJ100">
        <v>0</v>
      </c>
      <c r="GK100">
        <v>0</v>
      </c>
    </row>
    <row r="101" spans="1:193" ht="12.75">
      <c r="A101">
        <v>18</v>
      </c>
      <c r="B101">
        <v>1</v>
      </c>
      <c r="C101">
        <v>75</v>
      </c>
      <c r="E101" t="s">
        <v>142</v>
      </c>
      <c r="F101" t="s">
        <v>95</v>
      </c>
      <c r="G101" t="s">
        <v>96</v>
      </c>
      <c r="H101" t="s">
        <v>91</v>
      </c>
      <c r="I101">
        <f>I98*J101</f>
        <v>15.5</v>
      </c>
      <c r="J101">
        <v>5</v>
      </c>
      <c r="O101">
        <f t="shared" si="68"/>
        <v>7922.9</v>
      </c>
      <c r="P101">
        <f t="shared" si="69"/>
        <v>7922.9</v>
      </c>
      <c r="Q101">
        <f t="shared" si="70"/>
        <v>0</v>
      </c>
      <c r="R101">
        <f t="shared" si="71"/>
        <v>0</v>
      </c>
      <c r="S101">
        <f t="shared" si="72"/>
        <v>0</v>
      </c>
      <c r="T101">
        <f t="shared" si="73"/>
        <v>0</v>
      </c>
      <c r="U101">
        <f t="shared" si="74"/>
        <v>0</v>
      </c>
      <c r="V101">
        <f t="shared" si="75"/>
        <v>0</v>
      </c>
      <c r="W101">
        <f t="shared" si="76"/>
        <v>0</v>
      </c>
      <c r="X101">
        <f t="shared" si="77"/>
        <v>0</v>
      </c>
      <c r="Y101">
        <f t="shared" si="77"/>
        <v>0</v>
      </c>
      <c r="AA101">
        <v>0</v>
      </c>
      <c r="AB101">
        <f t="shared" si="78"/>
        <v>55.26</v>
      </c>
      <c r="AC101">
        <f t="shared" si="90"/>
        <v>55.26</v>
      </c>
      <c r="AD101">
        <f t="shared" si="90"/>
        <v>0</v>
      </c>
      <c r="AE101">
        <f t="shared" si="90"/>
        <v>0</v>
      </c>
      <c r="AF101">
        <f t="shared" si="90"/>
        <v>0</v>
      </c>
      <c r="AG101">
        <f t="shared" si="90"/>
        <v>0</v>
      </c>
      <c r="AH101">
        <f t="shared" si="90"/>
        <v>0</v>
      </c>
      <c r="AI101">
        <f t="shared" si="90"/>
        <v>0</v>
      </c>
      <c r="AJ101">
        <f t="shared" si="90"/>
        <v>0</v>
      </c>
      <c r="AK101">
        <v>55.26</v>
      </c>
      <c r="AL101">
        <v>55.26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98</v>
      </c>
      <c r="AU101">
        <v>72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9.25</v>
      </c>
      <c r="BH101">
        <v>3</v>
      </c>
      <c r="BI101">
        <v>1</v>
      </c>
      <c r="BJ101" t="s">
        <v>97</v>
      </c>
      <c r="BM101">
        <v>47001</v>
      </c>
      <c r="BN101">
        <v>0</v>
      </c>
      <c r="BO101" t="s">
        <v>95</v>
      </c>
      <c r="BP101">
        <v>1</v>
      </c>
      <c r="BQ101">
        <v>2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115</v>
      </c>
      <c r="CA101">
        <v>90</v>
      </c>
      <c r="CF101">
        <v>0</v>
      </c>
      <c r="CG101">
        <v>0</v>
      </c>
      <c r="CM101">
        <v>0</v>
      </c>
      <c r="CO101">
        <v>0</v>
      </c>
      <c r="CP101">
        <f t="shared" si="81"/>
        <v>7922.9</v>
      </c>
      <c r="CQ101">
        <f t="shared" si="82"/>
        <v>511.155</v>
      </c>
      <c r="CR101">
        <f t="shared" si="83"/>
        <v>0</v>
      </c>
      <c r="CS101">
        <f t="shared" si="84"/>
        <v>0</v>
      </c>
      <c r="CT101">
        <f t="shared" si="85"/>
        <v>0</v>
      </c>
      <c r="CU101">
        <f t="shared" si="86"/>
        <v>0</v>
      </c>
      <c r="CV101">
        <f t="shared" si="86"/>
        <v>0</v>
      </c>
      <c r="CW101">
        <f t="shared" si="86"/>
        <v>0</v>
      </c>
      <c r="CX101">
        <f t="shared" si="86"/>
        <v>0</v>
      </c>
      <c r="CY101">
        <f t="shared" si="87"/>
        <v>0</v>
      </c>
      <c r="CZ101">
        <f t="shared" si="88"/>
        <v>0</v>
      </c>
      <c r="DN101">
        <v>0</v>
      </c>
      <c r="DO101">
        <v>0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1007</v>
      </c>
      <c r="DV101" t="s">
        <v>91</v>
      </c>
      <c r="DW101" t="s">
        <v>91</v>
      </c>
      <c r="DX101">
        <v>1</v>
      </c>
      <c r="EE101">
        <v>26519266</v>
      </c>
      <c r="EF101">
        <v>2</v>
      </c>
      <c r="EG101" t="s">
        <v>58</v>
      </c>
      <c r="EH101">
        <v>0</v>
      </c>
      <c r="EJ101">
        <v>1</v>
      </c>
      <c r="EK101">
        <v>47001</v>
      </c>
      <c r="EL101" t="s">
        <v>86</v>
      </c>
      <c r="EM101" t="s">
        <v>87</v>
      </c>
      <c r="EQ101">
        <v>0</v>
      </c>
      <c r="ER101">
        <v>55.26</v>
      </c>
      <c r="ES101">
        <v>55.26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0</v>
      </c>
      <c r="FQ101">
        <v>0</v>
      </c>
      <c r="FR101">
        <f t="shared" si="89"/>
        <v>0</v>
      </c>
      <c r="FS101">
        <v>0</v>
      </c>
      <c r="FV101" t="s">
        <v>26</v>
      </c>
      <c r="FW101" t="s">
        <v>27</v>
      </c>
      <c r="FX101">
        <v>115</v>
      </c>
      <c r="FY101">
        <v>90</v>
      </c>
      <c r="GA101">
        <v>55.26</v>
      </c>
      <c r="GB101">
        <v>55.26</v>
      </c>
      <c r="GC101">
        <v>0</v>
      </c>
      <c r="GD101">
        <v>0</v>
      </c>
      <c r="GE101">
        <v>0</v>
      </c>
      <c r="GF101">
        <v>55.26</v>
      </c>
      <c r="GG101">
        <v>55.26</v>
      </c>
      <c r="GH101">
        <v>0</v>
      </c>
      <c r="GI101">
        <v>0</v>
      </c>
      <c r="GJ101">
        <v>0</v>
      </c>
      <c r="GK101">
        <v>0</v>
      </c>
    </row>
    <row r="103" spans="1:43" ht="12.75">
      <c r="A103" s="2">
        <v>51</v>
      </c>
      <c r="B103" s="2">
        <f>B91</f>
        <v>1</v>
      </c>
      <c r="C103" s="2">
        <f>A91</f>
        <v>4</v>
      </c>
      <c r="D103" s="2">
        <f>ROW(A91)</f>
        <v>91</v>
      </c>
      <c r="E103" s="2"/>
      <c r="F103" s="2" t="str">
        <f>IF(F91&lt;&gt;"",F91,"")</f>
        <v>Новый раздел</v>
      </c>
      <c r="G103" s="2" t="str">
        <f>IF(G91&lt;&gt;"",G91,"")</f>
        <v>Внутридворовая территория около д. 41</v>
      </c>
      <c r="H103" s="2"/>
      <c r="I103" s="2"/>
      <c r="J103" s="2"/>
      <c r="K103" s="2"/>
      <c r="L103" s="2"/>
      <c r="M103" s="2"/>
      <c r="N103" s="2"/>
      <c r="O103" s="2">
        <f aca="true" t="shared" si="91" ref="O103:Y103">ROUND(AB103,2)</f>
        <v>66194.44</v>
      </c>
      <c r="P103" s="2">
        <f t="shared" si="91"/>
        <v>16775.37</v>
      </c>
      <c r="Q103" s="2">
        <f t="shared" si="91"/>
        <v>31508.26</v>
      </c>
      <c r="R103" s="2">
        <f t="shared" si="91"/>
        <v>4145.75</v>
      </c>
      <c r="S103" s="2">
        <f t="shared" si="91"/>
        <v>17910.81</v>
      </c>
      <c r="T103" s="2">
        <f t="shared" si="91"/>
        <v>0</v>
      </c>
      <c r="U103" s="2">
        <f t="shared" si="91"/>
        <v>125.31</v>
      </c>
      <c r="V103" s="2">
        <f t="shared" si="91"/>
        <v>15.1</v>
      </c>
      <c r="W103" s="2">
        <f t="shared" si="91"/>
        <v>0</v>
      </c>
      <c r="X103" s="2">
        <f t="shared" si="91"/>
        <v>20955.24</v>
      </c>
      <c r="Y103" s="2">
        <f t="shared" si="91"/>
        <v>14296.81</v>
      </c>
      <c r="Z103" s="2"/>
      <c r="AA103" s="2"/>
      <c r="AB103" s="2">
        <f>ROUND(SUMIF(AA95:AA101,"=0",O95:O101),2)</f>
        <v>66194.44</v>
      </c>
      <c r="AC103" s="2">
        <f>ROUND(SUMIF(AA95:AA101,"=0",P95:P101),2)</f>
        <v>16775.37</v>
      </c>
      <c r="AD103" s="2">
        <f>ROUND(SUMIF(AA95:AA101,"=0",Q95:Q101),2)</f>
        <v>31508.26</v>
      </c>
      <c r="AE103" s="2">
        <f>ROUND(SUMIF(AA95:AA101,"=0",R95:R101),2)</f>
        <v>4145.75</v>
      </c>
      <c r="AF103" s="2">
        <f>ROUND(SUMIF(AA95:AA101,"=0",S95:S101),2)</f>
        <v>17910.81</v>
      </c>
      <c r="AG103" s="2">
        <f>ROUND(SUMIF(AA95:AA101,"=0",T95:T101),2)</f>
        <v>0</v>
      </c>
      <c r="AH103" s="2">
        <f>ROUND(SUMIF(AA95:AA101,"=0",U95:U101),2)</f>
        <v>125.31</v>
      </c>
      <c r="AI103" s="2">
        <f>ROUND(SUMIF(AA95:AA101,"=0",V95:V101),2)</f>
        <v>15.1</v>
      </c>
      <c r="AJ103" s="2">
        <f>ROUND(SUMIF(AA95:AA101,"=0",W95:W101),2)</f>
        <v>0</v>
      </c>
      <c r="AK103" s="2">
        <f>ROUND(SUMIF(AA95:AA101,"=0",X95:X101),2)</f>
        <v>20955.24</v>
      </c>
      <c r="AL103" s="2">
        <f>ROUND(SUMIF(AA95:AA101,"=0",Y95:Y101),2)</f>
        <v>14296.81</v>
      </c>
      <c r="AM103" s="2"/>
      <c r="AN103" s="2">
        <f>ROUND(AO103,2)</f>
        <v>0</v>
      </c>
      <c r="AO103" s="2">
        <f>ROUND(SUMIF(AA95:AA101,"=0",FQ95:FQ101),2)</f>
        <v>0</v>
      </c>
      <c r="AP103" s="2">
        <f>ROUND(AQ103,2)</f>
        <v>0</v>
      </c>
      <c r="AQ103" s="2">
        <f>ROUND(SUM(FR95:FR101),2)</f>
        <v>0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201</v>
      </c>
      <c r="F105" s="3">
        <f>Source!O103</f>
        <v>66194.44</v>
      </c>
      <c r="G105" s="3" t="s">
        <v>98</v>
      </c>
      <c r="H105" s="3" t="s">
        <v>99</v>
      </c>
      <c r="I105" s="3"/>
      <c r="J105" s="3"/>
      <c r="K105" s="3">
        <v>201</v>
      </c>
      <c r="L105" s="3">
        <v>1</v>
      </c>
      <c r="M105" s="3">
        <v>3</v>
      </c>
      <c r="N105" s="3" t="s">
        <v>3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202</v>
      </c>
      <c r="F106" s="3">
        <f>Source!P103</f>
        <v>16775.37</v>
      </c>
      <c r="G106" s="3" t="s">
        <v>100</v>
      </c>
      <c r="H106" s="3" t="s">
        <v>101</v>
      </c>
      <c r="I106" s="3"/>
      <c r="J106" s="3"/>
      <c r="K106" s="3">
        <v>202</v>
      </c>
      <c r="L106" s="3">
        <v>2</v>
      </c>
      <c r="M106" s="3">
        <v>3</v>
      </c>
      <c r="N106" s="3" t="s">
        <v>3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222</v>
      </c>
      <c r="F107" s="3">
        <f>Source!AN103</f>
        <v>0</v>
      </c>
      <c r="G107" s="3" t="s">
        <v>102</v>
      </c>
      <c r="H107" s="3" t="s">
        <v>103</v>
      </c>
      <c r="I107" s="3"/>
      <c r="J107" s="3"/>
      <c r="K107" s="3">
        <v>222</v>
      </c>
      <c r="L107" s="3">
        <v>3</v>
      </c>
      <c r="M107" s="3">
        <v>3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216</v>
      </c>
      <c r="F108" s="3">
        <f>Source!AP103</f>
        <v>0</v>
      </c>
      <c r="G108" s="3" t="s">
        <v>104</v>
      </c>
      <c r="H108" s="3" t="s">
        <v>105</v>
      </c>
      <c r="I108" s="3"/>
      <c r="J108" s="3"/>
      <c r="K108" s="3">
        <v>216</v>
      </c>
      <c r="L108" s="3">
        <v>4</v>
      </c>
      <c r="M108" s="3">
        <v>3</v>
      </c>
      <c r="N108" s="3" t="s">
        <v>3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203</v>
      </c>
      <c r="F109" s="3">
        <f>Source!Q103</f>
        <v>31508.26</v>
      </c>
      <c r="G109" s="3" t="s">
        <v>106</v>
      </c>
      <c r="H109" s="3" t="s">
        <v>107</v>
      </c>
      <c r="I109" s="3"/>
      <c r="J109" s="3"/>
      <c r="K109" s="3">
        <v>203</v>
      </c>
      <c r="L109" s="3">
        <v>5</v>
      </c>
      <c r="M109" s="3">
        <v>3</v>
      </c>
      <c r="N109" s="3" t="s">
        <v>3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204</v>
      </c>
      <c r="F110" s="3">
        <f>Source!R103</f>
        <v>4145.75</v>
      </c>
      <c r="G110" s="3" t="s">
        <v>108</v>
      </c>
      <c r="H110" s="3" t="s">
        <v>109</v>
      </c>
      <c r="I110" s="3"/>
      <c r="J110" s="3"/>
      <c r="K110" s="3">
        <v>204</v>
      </c>
      <c r="L110" s="3">
        <v>6</v>
      </c>
      <c r="M110" s="3">
        <v>3</v>
      </c>
      <c r="N110" s="3" t="s">
        <v>3</v>
      </c>
    </row>
    <row r="111" spans="1:14" ht="12.75">
      <c r="A111" s="3">
        <v>50</v>
      </c>
      <c r="B111" s="3">
        <v>0</v>
      </c>
      <c r="C111" s="3">
        <v>0</v>
      </c>
      <c r="D111" s="3">
        <v>1</v>
      </c>
      <c r="E111" s="3">
        <v>205</v>
      </c>
      <c r="F111" s="3">
        <f>Source!S103</f>
        <v>17910.81</v>
      </c>
      <c r="G111" s="3" t="s">
        <v>110</v>
      </c>
      <c r="H111" s="3" t="s">
        <v>111</v>
      </c>
      <c r="I111" s="3"/>
      <c r="J111" s="3"/>
      <c r="K111" s="3">
        <v>205</v>
      </c>
      <c r="L111" s="3">
        <v>7</v>
      </c>
      <c r="M111" s="3">
        <v>3</v>
      </c>
      <c r="N111" s="3" t="s">
        <v>3</v>
      </c>
    </row>
    <row r="112" spans="1:14" ht="12.75">
      <c r="A112" s="3">
        <v>50</v>
      </c>
      <c r="B112" s="3">
        <v>0</v>
      </c>
      <c r="C112" s="3">
        <v>0</v>
      </c>
      <c r="D112" s="3">
        <v>1</v>
      </c>
      <c r="E112" s="3">
        <v>206</v>
      </c>
      <c r="F112" s="3">
        <f>Source!T103</f>
        <v>0</v>
      </c>
      <c r="G112" s="3" t="s">
        <v>112</v>
      </c>
      <c r="H112" s="3" t="s">
        <v>113</v>
      </c>
      <c r="I112" s="3"/>
      <c r="J112" s="3"/>
      <c r="K112" s="3">
        <v>206</v>
      </c>
      <c r="L112" s="3">
        <v>8</v>
      </c>
      <c r="M112" s="3">
        <v>3</v>
      </c>
      <c r="N112" s="3" t="s">
        <v>3</v>
      </c>
    </row>
    <row r="113" spans="1:14" ht="12.75">
      <c r="A113" s="3">
        <v>50</v>
      </c>
      <c r="B113" s="3">
        <v>0</v>
      </c>
      <c r="C113" s="3">
        <v>0</v>
      </c>
      <c r="D113" s="3">
        <v>1</v>
      </c>
      <c r="E113" s="3">
        <v>207</v>
      </c>
      <c r="F113" s="3">
        <f>Source!U103</f>
        <v>125.31</v>
      </c>
      <c r="G113" s="3" t="s">
        <v>114</v>
      </c>
      <c r="H113" s="3" t="s">
        <v>115</v>
      </c>
      <c r="I113" s="3"/>
      <c r="J113" s="3"/>
      <c r="K113" s="3">
        <v>207</v>
      </c>
      <c r="L113" s="3">
        <v>9</v>
      </c>
      <c r="M113" s="3">
        <v>3</v>
      </c>
      <c r="N113" s="3" t="s">
        <v>3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208</v>
      </c>
      <c r="F114" s="3">
        <f>Source!V103</f>
        <v>15.1</v>
      </c>
      <c r="G114" s="3" t="s">
        <v>116</v>
      </c>
      <c r="H114" s="3" t="s">
        <v>117</v>
      </c>
      <c r="I114" s="3"/>
      <c r="J114" s="3"/>
      <c r="K114" s="3">
        <v>208</v>
      </c>
      <c r="L114" s="3">
        <v>10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209</v>
      </c>
      <c r="F115" s="3">
        <f>Source!W103</f>
        <v>0</v>
      </c>
      <c r="G115" s="3" t="s">
        <v>118</v>
      </c>
      <c r="H115" s="3" t="s">
        <v>119</v>
      </c>
      <c r="I115" s="3"/>
      <c r="J115" s="3"/>
      <c r="K115" s="3">
        <v>209</v>
      </c>
      <c r="L115" s="3">
        <v>11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210</v>
      </c>
      <c r="F116" s="3">
        <f>Source!X103</f>
        <v>20955.24</v>
      </c>
      <c r="G116" s="3" t="s">
        <v>120</v>
      </c>
      <c r="H116" s="3" t="s">
        <v>121</v>
      </c>
      <c r="I116" s="3"/>
      <c r="J116" s="3"/>
      <c r="K116" s="3">
        <v>210</v>
      </c>
      <c r="L116" s="3">
        <v>12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211</v>
      </c>
      <c r="F117" s="3">
        <f>Source!Y103</f>
        <v>14296.81</v>
      </c>
      <c r="G117" s="3" t="s">
        <v>122</v>
      </c>
      <c r="H117" s="3" t="s">
        <v>123</v>
      </c>
      <c r="I117" s="3"/>
      <c r="J117" s="3"/>
      <c r="K117" s="3">
        <v>211</v>
      </c>
      <c r="L117" s="3">
        <v>13</v>
      </c>
      <c r="M117" s="3">
        <v>3</v>
      </c>
      <c r="N117" s="3" t="s">
        <v>3</v>
      </c>
    </row>
    <row r="118" ht="12.75">
      <c r="G118">
        <v>0</v>
      </c>
    </row>
    <row r="119" spans="1:67" ht="12.75">
      <c r="A119" s="1">
        <v>4</v>
      </c>
      <c r="B119" s="1">
        <v>1</v>
      </c>
      <c r="C119" s="1"/>
      <c r="D119" s="1">
        <f>ROW(A134)</f>
        <v>134</v>
      </c>
      <c r="E119" s="1"/>
      <c r="F119" s="1" t="s">
        <v>15</v>
      </c>
      <c r="G119" s="1" t="s">
        <v>479</v>
      </c>
      <c r="H119" s="1"/>
      <c r="I119" s="1"/>
      <c r="J119" s="1"/>
      <c r="K119" s="1"/>
      <c r="L119" s="1"/>
      <c r="M119" s="1"/>
      <c r="N119" s="1" t="s">
        <v>3</v>
      </c>
      <c r="O119" s="1"/>
      <c r="P119" s="1"/>
      <c r="Q119" s="1"/>
      <c r="R119" s="1" t="s">
        <v>3</v>
      </c>
      <c r="S119" s="1" t="s">
        <v>3</v>
      </c>
      <c r="T119" s="1" t="s">
        <v>3</v>
      </c>
      <c r="U119" s="1" t="s">
        <v>3</v>
      </c>
      <c r="V119" s="1"/>
      <c r="W119" s="1"/>
      <c r="X119" s="1">
        <v>0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>
        <v>0</v>
      </c>
      <c r="AM119" s="1"/>
      <c r="AN119" s="1"/>
      <c r="AO119" s="1" t="s">
        <v>3</v>
      </c>
      <c r="AP119" s="1" t="s">
        <v>3</v>
      </c>
      <c r="AQ119" s="1" t="s">
        <v>3</v>
      </c>
      <c r="AR119" s="1"/>
      <c r="AS119" s="1"/>
      <c r="AT119" s="1" t="s">
        <v>3</v>
      </c>
      <c r="AU119" s="1" t="s">
        <v>3</v>
      </c>
      <c r="AV119" s="1" t="s">
        <v>3</v>
      </c>
      <c r="AW119" s="1" t="s">
        <v>3</v>
      </c>
      <c r="AX119" s="1" t="s">
        <v>3</v>
      </c>
      <c r="AY119" s="1" t="s">
        <v>3</v>
      </c>
      <c r="AZ119" s="1" t="s">
        <v>3</v>
      </c>
      <c r="BA119" s="1" t="s">
        <v>3</v>
      </c>
      <c r="BB119" s="1" t="s">
        <v>3</v>
      </c>
      <c r="BC119" s="1" t="s">
        <v>3</v>
      </c>
      <c r="BD119" s="1" t="s">
        <v>3</v>
      </c>
      <c r="BE119" s="1" t="s">
        <v>143</v>
      </c>
      <c r="BF119" s="1">
        <v>0</v>
      </c>
      <c r="BG119" s="1">
        <v>0</v>
      </c>
      <c r="BH119" s="1" t="s">
        <v>3</v>
      </c>
      <c r="BI119" s="1" t="s">
        <v>3</v>
      </c>
      <c r="BJ119" s="1" t="s">
        <v>3</v>
      </c>
      <c r="BK119" s="1" t="s">
        <v>3</v>
      </c>
      <c r="BL119" s="1" t="s">
        <v>3</v>
      </c>
      <c r="BM119" s="1">
        <v>0</v>
      </c>
      <c r="BN119" s="1" t="s">
        <v>3</v>
      </c>
      <c r="BO119" s="1">
        <v>0</v>
      </c>
    </row>
    <row r="121" spans="1:43" ht="12.75">
      <c r="A121" s="2">
        <v>52</v>
      </c>
      <c r="B121" s="2">
        <f aca="true" t="shared" si="92" ref="B121:AQ121">B134</f>
        <v>1</v>
      </c>
      <c r="C121" s="2">
        <f t="shared" si="92"/>
        <v>4</v>
      </c>
      <c r="D121" s="2">
        <f t="shared" si="92"/>
        <v>119</v>
      </c>
      <c r="E121" s="2">
        <f t="shared" si="92"/>
        <v>0</v>
      </c>
      <c r="F121" s="2" t="str">
        <f t="shared" si="92"/>
        <v>Новый раздел</v>
      </c>
      <c r="G121" s="2" t="str">
        <f t="shared" si="92"/>
        <v>Внутридворовая территория около д. 35а</v>
      </c>
      <c r="H121" s="2">
        <f t="shared" si="92"/>
        <v>0</v>
      </c>
      <c r="I121" s="2">
        <f t="shared" si="92"/>
        <v>0</v>
      </c>
      <c r="J121" s="2">
        <f t="shared" si="92"/>
        <v>0</v>
      </c>
      <c r="K121" s="2">
        <f t="shared" si="92"/>
        <v>0</v>
      </c>
      <c r="L121" s="2">
        <f t="shared" si="92"/>
        <v>0</v>
      </c>
      <c r="M121" s="2">
        <f t="shared" si="92"/>
        <v>0</v>
      </c>
      <c r="N121" s="2">
        <f t="shared" si="92"/>
        <v>0</v>
      </c>
      <c r="O121" s="2">
        <f t="shared" si="92"/>
        <v>73235.69</v>
      </c>
      <c r="P121" s="2">
        <f t="shared" si="92"/>
        <v>31562.85</v>
      </c>
      <c r="Q121" s="2">
        <f t="shared" si="92"/>
        <v>11196.2</v>
      </c>
      <c r="R121" s="2">
        <f t="shared" si="92"/>
        <v>3175.45</v>
      </c>
      <c r="S121" s="2">
        <f t="shared" si="92"/>
        <v>30476.64</v>
      </c>
      <c r="T121" s="2">
        <f t="shared" si="92"/>
        <v>0</v>
      </c>
      <c r="U121" s="2">
        <f t="shared" si="92"/>
        <v>205.79</v>
      </c>
      <c r="V121" s="2">
        <f t="shared" si="92"/>
        <v>13.26</v>
      </c>
      <c r="W121" s="2">
        <f t="shared" si="92"/>
        <v>0</v>
      </c>
      <c r="X121" s="2">
        <f t="shared" si="92"/>
        <v>34055.19</v>
      </c>
      <c r="Y121" s="2">
        <f t="shared" si="92"/>
        <v>23674.39</v>
      </c>
      <c r="Z121" s="2">
        <f t="shared" si="92"/>
        <v>0</v>
      </c>
      <c r="AA121" s="2">
        <f t="shared" si="92"/>
        <v>0</v>
      </c>
      <c r="AB121" s="2">
        <f t="shared" si="92"/>
        <v>73235.69</v>
      </c>
      <c r="AC121" s="2">
        <f t="shared" si="92"/>
        <v>31562.85</v>
      </c>
      <c r="AD121" s="2">
        <f t="shared" si="92"/>
        <v>11196.2</v>
      </c>
      <c r="AE121" s="2">
        <f t="shared" si="92"/>
        <v>3175.45</v>
      </c>
      <c r="AF121" s="2">
        <f t="shared" si="92"/>
        <v>30476.64</v>
      </c>
      <c r="AG121" s="2">
        <f t="shared" si="92"/>
        <v>0</v>
      </c>
      <c r="AH121" s="2">
        <f t="shared" si="92"/>
        <v>205.79</v>
      </c>
      <c r="AI121" s="2">
        <f t="shared" si="92"/>
        <v>13.26</v>
      </c>
      <c r="AJ121" s="2">
        <f t="shared" si="92"/>
        <v>0</v>
      </c>
      <c r="AK121" s="2">
        <f t="shared" si="92"/>
        <v>34055.19</v>
      </c>
      <c r="AL121" s="2">
        <f t="shared" si="92"/>
        <v>23674.39</v>
      </c>
      <c r="AM121" s="2">
        <f t="shared" si="92"/>
        <v>0</v>
      </c>
      <c r="AN121" s="2">
        <f t="shared" si="92"/>
        <v>0</v>
      </c>
      <c r="AO121" s="2">
        <f t="shared" si="92"/>
        <v>0</v>
      </c>
      <c r="AP121" s="2">
        <f t="shared" si="92"/>
        <v>0</v>
      </c>
      <c r="AQ121" s="2">
        <f t="shared" si="92"/>
        <v>0</v>
      </c>
    </row>
    <row r="123" spans="1:193" ht="12.75">
      <c r="A123">
        <v>17</v>
      </c>
      <c r="B123">
        <v>1</v>
      </c>
      <c r="C123">
        <f>ROW(SmtRes!A82)</f>
        <v>82</v>
      </c>
      <c r="D123">
        <f>ROW(EtalonRes!A74)</f>
        <v>74</v>
      </c>
      <c r="E123" t="s">
        <v>144</v>
      </c>
      <c r="F123" t="s">
        <v>83</v>
      </c>
      <c r="G123" t="s">
        <v>84</v>
      </c>
      <c r="H123" t="s">
        <v>65</v>
      </c>
      <c r="I123">
        <v>4.07</v>
      </c>
      <c r="J123">
        <v>0</v>
      </c>
      <c r="O123">
        <f aca="true" t="shared" si="93" ref="O123:O132">ROUND(CP123,2)</f>
        <v>55253.27</v>
      </c>
      <c r="P123">
        <f aca="true" t="shared" si="94" ref="P123:P132">ROUND(CQ123*I123,2)</f>
        <v>34867.3</v>
      </c>
      <c r="Q123">
        <f aca="true" t="shared" si="95" ref="Q123:Q132">ROUND(CR123*I123,2)</f>
        <v>161.51</v>
      </c>
      <c r="R123">
        <f aca="true" t="shared" si="96" ref="R123:R132">ROUND(CS123*I123,2)</f>
        <v>68.98</v>
      </c>
      <c r="S123">
        <f aca="true" t="shared" si="97" ref="S123:S132">ROUND(CT123*I123,2)</f>
        <v>20224.46</v>
      </c>
      <c r="T123">
        <f aca="true" t="shared" si="98" ref="T123:T132">ROUND(CU123*I123,2)</f>
        <v>0</v>
      </c>
      <c r="U123">
        <f aca="true" t="shared" si="99" ref="U123:U132">CV123*I123</f>
        <v>142.7756</v>
      </c>
      <c r="V123">
        <f aca="true" t="shared" si="100" ref="V123:V132">CW123*I123</f>
        <v>0.28490000000000004</v>
      </c>
      <c r="W123">
        <f aca="true" t="shared" si="101" ref="W123:W132">ROUND(CX123*I123,2)</f>
        <v>0</v>
      </c>
      <c r="X123">
        <f aca="true" t="shared" si="102" ref="X123:X132">ROUND(CY123,2)</f>
        <v>19887.57</v>
      </c>
      <c r="Y123">
        <f aca="true" t="shared" si="103" ref="Y123:Y132">ROUND(CZ123,2)</f>
        <v>14611.28</v>
      </c>
      <c r="AA123">
        <v>0</v>
      </c>
      <c r="AB123">
        <f aca="true" t="shared" si="104" ref="AB123:AB132">(AC123+AD123+AF123)</f>
        <v>2263.61</v>
      </c>
      <c r="AC123">
        <f>(ES123)</f>
        <v>1978.5</v>
      </c>
      <c r="AD123">
        <f>(ET123)</f>
        <v>6.57</v>
      </c>
      <c r="AE123">
        <f>(EU123)</f>
        <v>0.95</v>
      </c>
      <c r="AF123">
        <f>(EV123)</f>
        <v>278.54</v>
      </c>
      <c r="AG123">
        <f>(AP123)</f>
        <v>0</v>
      </c>
      <c r="AH123">
        <f>(EW123)</f>
        <v>35.08</v>
      </c>
      <c r="AI123">
        <f>(EX123)</f>
        <v>0.07</v>
      </c>
      <c r="AJ123">
        <f>(AS123)</f>
        <v>0</v>
      </c>
      <c r="AK123">
        <v>2263.61</v>
      </c>
      <c r="AL123">
        <v>1978.5</v>
      </c>
      <c r="AM123">
        <v>6.57</v>
      </c>
      <c r="AN123">
        <v>0.95</v>
      </c>
      <c r="AO123">
        <v>278.54</v>
      </c>
      <c r="AP123">
        <v>0</v>
      </c>
      <c r="AQ123">
        <v>35.08</v>
      </c>
      <c r="AR123">
        <v>0.07</v>
      </c>
      <c r="AS123">
        <v>0</v>
      </c>
      <c r="AT123">
        <v>98</v>
      </c>
      <c r="AU123">
        <v>72</v>
      </c>
      <c r="AV123">
        <v>1</v>
      </c>
      <c r="AW123">
        <v>1</v>
      </c>
      <c r="AX123">
        <v>1</v>
      </c>
      <c r="AY123">
        <v>1</v>
      </c>
      <c r="AZ123">
        <v>7.77</v>
      </c>
      <c r="BA123">
        <v>17.84</v>
      </c>
      <c r="BB123">
        <v>6.04</v>
      </c>
      <c r="BC123">
        <v>4.33</v>
      </c>
      <c r="BH123">
        <v>0</v>
      </c>
      <c r="BI123">
        <v>1</v>
      </c>
      <c r="BJ123" t="s">
        <v>85</v>
      </c>
      <c r="BM123">
        <v>47001</v>
      </c>
      <c r="BN123">
        <v>0</v>
      </c>
      <c r="BO123" t="s">
        <v>83</v>
      </c>
      <c r="BP123">
        <v>1</v>
      </c>
      <c r="BQ123">
        <v>2</v>
      </c>
      <c r="BR123">
        <v>0</v>
      </c>
      <c r="BS123">
        <v>17.84</v>
      </c>
      <c r="BT123">
        <v>1</v>
      </c>
      <c r="BU123">
        <v>1</v>
      </c>
      <c r="BV123">
        <v>1</v>
      </c>
      <c r="BW123">
        <v>1</v>
      </c>
      <c r="BX123">
        <v>1</v>
      </c>
      <c r="BZ123">
        <v>115</v>
      </c>
      <c r="CA123">
        <v>90</v>
      </c>
      <c r="CF123">
        <v>0</v>
      </c>
      <c r="CG123">
        <v>0</v>
      </c>
      <c r="CM123">
        <v>0</v>
      </c>
      <c r="CO123">
        <v>0</v>
      </c>
      <c r="CP123">
        <f aca="true" t="shared" si="105" ref="CP123:CP132">(P123+Q123+S123)</f>
        <v>55253.270000000004</v>
      </c>
      <c r="CQ123">
        <f aca="true" t="shared" si="106" ref="CQ123:CQ132">(AC123)*BC123</f>
        <v>8566.905</v>
      </c>
      <c r="CR123">
        <f aca="true" t="shared" si="107" ref="CR123:CR132">(AD123)*BB123</f>
        <v>39.6828</v>
      </c>
      <c r="CS123">
        <f aca="true" t="shared" si="108" ref="CS123:CS132">(AE123)*BS123</f>
        <v>16.948</v>
      </c>
      <c r="CT123">
        <f aca="true" t="shared" si="109" ref="CT123:CT132">(AF123)*BA123</f>
        <v>4969.153600000001</v>
      </c>
      <c r="CU123">
        <f aca="true" t="shared" si="110" ref="CU123:CU132">(AG123)*BT123</f>
        <v>0</v>
      </c>
      <c r="CV123">
        <f aca="true" t="shared" si="111" ref="CV123:CV132">(AH123)*BU123</f>
        <v>35.08</v>
      </c>
      <c r="CW123">
        <f aca="true" t="shared" si="112" ref="CW123:CW132">(AI123)*BV123</f>
        <v>0.07</v>
      </c>
      <c r="CX123">
        <f aca="true" t="shared" si="113" ref="CX123:CX132">(AJ123)*BW123</f>
        <v>0</v>
      </c>
      <c r="CY123">
        <f aca="true" t="shared" si="114" ref="CY123:CY132">((S123+R123)*(ROUND((FX123*IF(1,(IF(0,0.94,0.85)*IF(0,0.85,1)),1)),IF(1,0,2))/100))</f>
        <v>19887.5712</v>
      </c>
      <c r="CZ123">
        <f aca="true" t="shared" si="115" ref="CZ123:CZ132">((S123+R123)*(ROUND((FY123*IF(1,0.8,1)),IF(1,0,2))/100))</f>
        <v>14611.276799999998</v>
      </c>
      <c r="DN123">
        <v>0</v>
      </c>
      <c r="DO123">
        <v>0</v>
      </c>
      <c r="DP123">
        <v>1</v>
      </c>
      <c r="DQ123">
        <v>1</v>
      </c>
      <c r="DR123">
        <v>1</v>
      </c>
      <c r="DS123">
        <v>1</v>
      </c>
      <c r="DT123">
        <v>1</v>
      </c>
      <c r="DU123">
        <v>1005</v>
      </c>
      <c r="DV123" t="s">
        <v>65</v>
      </c>
      <c r="DW123" t="s">
        <v>65</v>
      </c>
      <c r="DX123">
        <v>100</v>
      </c>
      <c r="EE123">
        <v>26519266</v>
      </c>
      <c r="EF123">
        <v>2</v>
      </c>
      <c r="EG123" t="s">
        <v>58</v>
      </c>
      <c r="EH123">
        <v>0</v>
      </c>
      <c r="EJ123">
        <v>1</v>
      </c>
      <c r="EK123">
        <v>47001</v>
      </c>
      <c r="EL123" t="s">
        <v>86</v>
      </c>
      <c r="EM123" t="s">
        <v>87</v>
      </c>
      <c r="EQ123">
        <v>0</v>
      </c>
      <c r="ER123">
        <v>2263.61</v>
      </c>
      <c r="ES123">
        <v>1978.5</v>
      </c>
      <c r="ET123">
        <v>6.57</v>
      </c>
      <c r="EU123">
        <v>0.95</v>
      </c>
      <c r="EV123">
        <v>278.54</v>
      </c>
      <c r="EW123">
        <v>35.08</v>
      </c>
      <c r="EX123">
        <v>0.07</v>
      </c>
      <c r="EY123">
        <v>0</v>
      </c>
      <c r="EZ123">
        <v>0</v>
      </c>
      <c r="FQ123">
        <v>0</v>
      </c>
      <c r="FR123">
        <f aca="true" t="shared" si="116" ref="FR123:FR132">ROUND(IF(AND(AA123=0,BI123=3),P123,0),2)</f>
        <v>0</v>
      </c>
      <c r="FS123">
        <v>0</v>
      </c>
      <c r="FV123" t="s">
        <v>26</v>
      </c>
      <c r="FW123" t="s">
        <v>27</v>
      </c>
      <c r="FX123">
        <v>115</v>
      </c>
      <c r="FY123">
        <v>90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</row>
    <row r="124" spans="1:193" ht="12.75">
      <c r="A124">
        <v>18</v>
      </c>
      <c r="B124">
        <v>1</v>
      </c>
      <c r="C124">
        <v>80</v>
      </c>
      <c r="E124" t="s">
        <v>145</v>
      </c>
      <c r="F124" t="s">
        <v>89</v>
      </c>
      <c r="G124" t="s">
        <v>90</v>
      </c>
      <c r="H124" t="s">
        <v>91</v>
      </c>
      <c r="I124">
        <f>I123*J124</f>
        <v>-61.050000000000004</v>
      </c>
      <c r="J124">
        <v>-15</v>
      </c>
      <c r="O124">
        <f t="shared" si="93"/>
        <v>-34867.3</v>
      </c>
      <c r="P124">
        <f t="shared" si="94"/>
        <v>-34867.3</v>
      </c>
      <c r="Q124">
        <f t="shared" si="95"/>
        <v>0</v>
      </c>
      <c r="R124">
        <f t="shared" si="96"/>
        <v>0</v>
      </c>
      <c r="S124">
        <f t="shared" si="97"/>
        <v>0</v>
      </c>
      <c r="T124">
        <f t="shared" si="98"/>
        <v>0</v>
      </c>
      <c r="U124">
        <f t="shared" si="99"/>
        <v>0</v>
      </c>
      <c r="V124">
        <f t="shared" si="100"/>
        <v>0</v>
      </c>
      <c r="W124">
        <f t="shared" si="101"/>
        <v>0</v>
      </c>
      <c r="X124">
        <f t="shared" si="102"/>
        <v>0</v>
      </c>
      <c r="Y124">
        <f t="shared" si="103"/>
        <v>0</v>
      </c>
      <c r="AA124">
        <v>0</v>
      </c>
      <c r="AB124">
        <f t="shared" si="104"/>
        <v>131.9</v>
      </c>
      <c r="AC124">
        <f aca="true" t="shared" si="117" ref="AC124:AJ126">AL124</f>
        <v>131.9</v>
      </c>
      <c r="AD124">
        <f t="shared" si="117"/>
        <v>0</v>
      </c>
      <c r="AE124">
        <f t="shared" si="117"/>
        <v>0</v>
      </c>
      <c r="AF124">
        <f t="shared" si="117"/>
        <v>0</v>
      </c>
      <c r="AG124">
        <f t="shared" si="117"/>
        <v>0</v>
      </c>
      <c r="AH124">
        <f t="shared" si="117"/>
        <v>0</v>
      </c>
      <c r="AI124">
        <f t="shared" si="117"/>
        <v>0</v>
      </c>
      <c r="AJ124">
        <f t="shared" si="117"/>
        <v>0</v>
      </c>
      <c r="AK124">
        <v>131.9</v>
      </c>
      <c r="AL124">
        <v>131.9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98</v>
      </c>
      <c r="AU124">
        <v>72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4.33</v>
      </c>
      <c r="BH124">
        <v>3</v>
      </c>
      <c r="BI124">
        <v>1</v>
      </c>
      <c r="BJ124" t="s">
        <v>92</v>
      </c>
      <c r="BM124">
        <v>47001</v>
      </c>
      <c r="BN124">
        <v>0</v>
      </c>
      <c r="BO124" t="s">
        <v>89</v>
      </c>
      <c r="BP124">
        <v>1</v>
      </c>
      <c r="BQ124">
        <v>2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Z124">
        <v>115</v>
      </c>
      <c r="CA124">
        <v>90</v>
      </c>
      <c r="CF124">
        <v>0</v>
      </c>
      <c r="CG124">
        <v>0</v>
      </c>
      <c r="CM124">
        <v>0</v>
      </c>
      <c r="CO124">
        <v>0</v>
      </c>
      <c r="CP124">
        <f t="shared" si="105"/>
        <v>-34867.3</v>
      </c>
      <c r="CQ124">
        <f t="shared" si="106"/>
        <v>571.1270000000001</v>
      </c>
      <c r="CR124">
        <f t="shared" si="107"/>
        <v>0</v>
      </c>
      <c r="CS124">
        <f t="shared" si="108"/>
        <v>0</v>
      </c>
      <c r="CT124">
        <f t="shared" si="109"/>
        <v>0</v>
      </c>
      <c r="CU124">
        <f t="shared" si="110"/>
        <v>0</v>
      </c>
      <c r="CV124">
        <f t="shared" si="111"/>
        <v>0</v>
      </c>
      <c r="CW124">
        <f t="shared" si="112"/>
        <v>0</v>
      </c>
      <c r="CX124">
        <f t="shared" si="113"/>
        <v>0</v>
      </c>
      <c r="CY124">
        <f t="shared" si="114"/>
        <v>0</v>
      </c>
      <c r="CZ124">
        <f t="shared" si="115"/>
        <v>0</v>
      </c>
      <c r="DN124">
        <v>0</v>
      </c>
      <c r="DO124">
        <v>0</v>
      </c>
      <c r="DP124">
        <v>1</v>
      </c>
      <c r="DQ124">
        <v>1</v>
      </c>
      <c r="DR124">
        <v>1</v>
      </c>
      <c r="DS124">
        <v>1</v>
      </c>
      <c r="DT124">
        <v>1</v>
      </c>
      <c r="DU124">
        <v>1007</v>
      </c>
      <c r="DV124" t="s">
        <v>91</v>
      </c>
      <c r="DW124" t="s">
        <v>91</v>
      </c>
      <c r="DX124">
        <v>1</v>
      </c>
      <c r="EE124">
        <v>26519266</v>
      </c>
      <c r="EF124">
        <v>2</v>
      </c>
      <c r="EG124" t="s">
        <v>58</v>
      </c>
      <c r="EH124">
        <v>0</v>
      </c>
      <c r="EJ124">
        <v>1</v>
      </c>
      <c r="EK124">
        <v>47001</v>
      </c>
      <c r="EL124" t="s">
        <v>86</v>
      </c>
      <c r="EM124" t="s">
        <v>87</v>
      </c>
      <c r="EQ124">
        <v>0</v>
      </c>
      <c r="ER124">
        <v>131.9</v>
      </c>
      <c r="ES124">
        <v>131.9</v>
      </c>
      <c r="ET124">
        <v>0</v>
      </c>
      <c r="EU124">
        <v>0</v>
      </c>
      <c r="EV124">
        <v>0</v>
      </c>
      <c r="EW124">
        <v>0</v>
      </c>
      <c r="EX124">
        <v>0</v>
      </c>
      <c r="EZ124">
        <v>0</v>
      </c>
      <c r="FQ124">
        <v>0</v>
      </c>
      <c r="FR124">
        <f t="shared" si="116"/>
        <v>0</v>
      </c>
      <c r="FS124">
        <v>0</v>
      </c>
      <c r="FV124" t="s">
        <v>26</v>
      </c>
      <c r="FW124" t="s">
        <v>27</v>
      </c>
      <c r="FX124">
        <v>115</v>
      </c>
      <c r="FY124">
        <v>90</v>
      </c>
      <c r="GA124">
        <v>131.9</v>
      </c>
      <c r="GB124">
        <v>131.9</v>
      </c>
      <c r="GC124">
        <v>0</v>
      </c>
      <c r="GD124">
        <v>0</v>
      </c>
      <c r="GE124">
        <v>0</v>
      </c>
      <c r="GF124">
        <v>131.9</v>
      </c>
      <c r="GG124">
        <v>131.9</v>
      </c>
      <c r="GH124">
        <v>0</v>
      </c>
      <c r="GI124">
        <v>0</v>
      </c>
      <c r="GJ124">
        <v>0</v>
      </c>
      <c r="GK124">
        <v>0</v>
      </c>
    </row>
    <row r="125" spans="1:193" ht="12.75">
      <c r="A125">
        <v>18</v>
      </c>
      <c r="B125">
        <v>1</v>
      </c>
      <c r="C125">
        <v>81</v>
      </c>
      <c r="E125" t="s">
        <v>146</v>
      </c>
      <c r="F125" t="s">
        <v>89</v>
      </c>
      <c r="G125" t="s">
        <v>90</v>
      </c>
      <c r="H125" t="s">
        <v>91</v>
      </c>
      <c r="I125">
        <f>I123*J125</f>
        <v>20.35</v>
      </c>
      <c r="J125">
        <v>5</v>
      </c>
      <c r="O125">
        <f t="shared" si="93"/>
        <v>11622.43</v>
      </c>
      <c r="P125">
        <f t="shared" si="94"/>
        <v>11622.43</v>
      </c>
      <c r="Q125">
        <f t="shared" si="95"/>
        <v>0</v>
      </c>
      <c r="R125">
        <f t="shared" si="96"/>
        <v>0</v>
      </c>
      <c r="S125">
        <f t="shared" si="97"/>
        <v>0</v>
      </c>
      <c r="T125">
        <f t="shared" si="98"/>
        <v>0</v>
      </c>
      <c r="U125">
        <f t="shared" si="99"/>
        <v>0</v>
      </c>
      <c r="V125">
        <f t="shared" si="100"/>
        <v>0</v>
      </c>
      <c r="W125">
        <f t="shared" si="101"/>
        <v>0</v>
      </c>
      <c r="X125">
        <f t="shared" si="102"/>
        <v>0</v>
      </c>
      <c r="Y125">
        <f t="shared" si="103"/>
        <v>0</v>
      </c>
      <c r="AA125">
        <v>0</v>
      </c>
      <c r="AB125">
        <f t="shared" si="104"/>
        <v>131.9</v>
      </c>
      <c r="AC125">
        <f t="shared" si="117"/>
        <v>131.9</v>
      </c>
      <c r="AD125">
        <f t="shared" si="117"/>
        <v>0</v>
      </c>
      <c r="AE125">
        <f t="shared" si="117"/>
        <v>0</v>
      </c>
      <c r="AF125">
        <f t="shared" si="117"/>
        <v>0</v>
      </c>
      <c r="AG125">
        <f t="shared" si="117"/>
        <v>0</v>
      </c>
      <c r="AH125">
        <f t="shared" si="117"/>
        <v>0</v>
      </c>
      <c r="AI125">
        <f t="shared" si="117"/>
        <v>0</v>
      </c>
      <c r="AJ125">
        <f t="shared" si="117"/>
        <v>0</v>
      </c>
      <c r="AK125">
        <v>131.9</v>
      </c>
      <c r="AL125">
        <v>131.9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98</v>
      </c>
      <c r="AU125">
        <v>72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4.33</v>
      </c>
      <c r="BH125">
        <v>3</v>
      </c>
      <c r="BI125">
        <v>1</v>
      </c>
      <c r="BJ125" t="s">
        <v>92</v>
      </c>
      <c r="BM125">
        <v>47001</v>
      </c>
      <c r="BN125">
        <v>0</v>
      </c>
      <c r="BO125" t="s">
        <v>89</v>
      </c>
      <c r="BP125">
        <v>1</v>
      </c>
      <c r="BQ125">
        <v>2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Z125">
        <v>115</v>
      </c>
      <c r="CA125">
        <v>90</v>
      </c>
      <c r="CF125">
        <v>0</v>
      </c>
      <c r="CG125">
        <v>0</v>
      </c>
      <c r="CM125">
        <v>0</v>
      </c>
      <c r="CO125">
        <v>0</v>
      </c>
      <c r="CP125">
        <f t="shared" si="105"/>
        <v>11622.43</v>
      </c>
      <c r="CQ125">
        <f t="shared" si="106"/>
        <v>571.1270000000001</v>
      </c>
      <c r="CR125">
        <f t="shared" si="107"/>
        <v>0</v>
      </c>
      <c r="CS125">
        <f t="shared" si="108"/>
        <v>0</v>
      </c>
      <c r="CT125">
        <f t="shared" si="109"/>
        <v>0</v>
      </c>
      <c r="CU125">
        <f t="shared" si="110"/>
        <v>0</v>
      </c>
      <c r="CV125">
        <f t="shared" si="111"/>
        <v>0</v>
      </c>
      <c r="CW125">
        <f t="shared" si="112"/>
        <v>0</v>
      </c>
      <c r="CX125">
        <f t="shared" si="113"/>
        <v>0</v>
      </c>
      <c r="CY125">
        <f t="shared" si="114"/>
        <v>0</v>
      </c>
      <c r="CZ125">
        <f t="shared" si="115"/>
        <v>0</v>
      </c>
      <c r="DN125">
        <v>0</v>
      </c>
      <c r="DO125">
        <v>0</v>
      </c>
      <c r="DP125">
        <v>1</v>
      </c>
      <c r="DQ125">
        <v>1</v>
      </c>
      <c r="DR125">
        <v>1</v>
      </c>
      <c r="DS125">
        <v>1</v>
      </c>
      <c r="DT125">
        <v>1</v>
      </c>
      <c r="DU125">
        <v>1007</v>
      </c>
      <c r="DV125" t="s">
        <v>91</v>
      </c>
      <c r="DW125" t="s">
        <v>91</v>
      </c>
      <c r="DX125">
        <v>1</v>
      </c>
      <c r="EE125">
        <v>26519266</v>
      </c>
      <c r="EF125">
        <v>2</v>
      </c>
      <c r="EG125" t="s">
        <v>58</v>
      </c>
      <c r="EH125">
        <v>0</v>
      </c>
      <c r="EJ125">
        <v>1</v>
      </c>
      <c r="EK125">
        <v>47001</v>
      </c>
      <c r="EL125" t="s">
        <v>86</v>
      </c>
      <c r="EM125" t="s">
        <v>87</v>
      </c>
      <c r="EQ125">
        <v>0</v>
      </c>
      <c r="ER125">
        <v>131.9</v>
      </c>
      <c r="ES125">
        <v>131.9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0</v>
      </c>
      <c r="FQ125">
        <v>0</v>
      </c>
      <c r="FR125">
        <f t="shared" si="116"/>
        <v>0</v>
      </c>
      <c r="FS125">
        <v>0</v>
      </c>
      <c r="FV125" t="s">
        <v>26</v>
      </c>
      <c r="FW125" t="s">
        <v>27</v>
      </c>
      <c r="FX125">
        <v>115</v>
      </c>
      <c r="FY125">
        <v>90</v>
      </c>
      <c r="GA125">
        <v>131.9</v>
      </c>
      <c r="GB125">
        <v>131.9</v>
      </c>
      <c r="GC125">
        <v>0</v>
      </c>
      <c r="GD125">
        <v>0</v>
      </c>
      <c r="GE125">
        <v>0</v>
      </c>
      <c r="GF125">
        <v>131.9</v>
      </c>
      <c r="GG125">
        <v>131.9</v>
      </c>
      <c r="GH125">
        <v>0</v>
      </c>
      <c r="GI125">
        <v>0</v>
      </c>
      <c r="GJ125">
        <v>0</v>
      </c>
      <c r="GK125">
        <v>0</v>
      </c>
    </row>
    <row r="126" spans="1:193" ht="12.75">
      <c r="A126">
        <v>18</v>
      </c>
      <c r="B126">
        <v>1</v>
      </c>
      <c r="C126">
        <v>82</v>
      </c>
      <c r="E126" t="s">
        <v>147</v>
      </c>
      <c r="F126" t="s">
        <v>95</v>
      </c>
      <c r="G126" t="s">
        <v>96</v>
      </c>
      <c r="H126" t="s">
        <v>91</v>
      </c>
      <c r="I126">
        <f>I123*J126</f>
        <v>20.35</v>
      </c>
      <c r="J126">
        <v>5</v>
      </c>
      <c r="O126">
        <f t="shared" si="93"/>
        <v>10402</v>
      </c>
      <c r="P126">
        <f t="shared" si="94"/>
        <v>10402</v>
      </c>
      <c r="Q126">
        <f t="shared" si="95"/>
        <v>0</v>
      </c>
      <c r="R126">
        <f t="shared" si="96"/>
        <v>0</v>
      </c>
      <c r="S126">
        <f t="shared" si="97"/>
        <v>0</v>
      </c>
      <c r="T126">
        <f t="shared" si="98"/>
        <v>0</v>
      </c>
      <c r="U126">
        <f t="shared" si="99"/>
        <v>0</v>
      </c>
      <c r="V126">
        <f t="shared" si="100"/>
        <v>0</v>
      </c>
      <c r="W126">
        <f t="shared" si="101"/>
        <v>0</v>
      </c>
      <c r="X126">
        <f t="shared" si="102"/>
        <v>0</v>
      </c>
      <c r="Y126">
        <f t="shared" si="103"/>
        <v>0</v>
      </c>
      <c r="AA126">
        <v>0</v>
      </c>
      <c r="AB126">
        <f t="shared" si="104"/>
        <v>55.26</v>
      </c>
      <c r="AC126">
        <f t="shared" si="117"/>
        <v>55.26</v>
      </c>
      <c r="AD126">
        <f t="shared" si="117"/>
        <v>0</v>
      </c>
      <c r="AE126">
        <f t="shared" si="117"/>
        <v>0</v>
      </c>
      <c r="AF126">
        <f t="shared" si="117"/>
        <v>0</v>
      </c>
      <c r="AG126">
        <f t="shared" si="117"/>
        <v>0</v>
      </c>
      <c r="AH126">
        <f t="shared" si="117"/>
        <v>0</v>
      </c>
      <c r="AI126">
        <f t="shared" si="117"/>
        <v>0</v>
      </c>
      <c r="AJ126">
        <f t="shared" si="117"/>
        <v>0</v>
      </c>
      <c r="AK126">
        <v>55.26</v>
      </c>
      <c r="AL126">
        <v>55.26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98</v>
      </c>
      <c r="AU126">
        <v>72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9.25</v>
      </c>
      <c r="BH126">
        <v>3</v>
      </c>
      <c r="BI126">
        <v>1</v>
      </c>
      <c r="BJ126" t="s">
        <v>97</v>
      </c>
      <c r="BM126">
        <v>47001</v>
      </c>
      <c r="BN126">
        <v>0</v>
      </c>
      <c r="BO126" t="s">
        <v>95</v>
      </c>
      <c r="BP126">
        <v>1</v>
      </c>
      <c r="BQ126">
        <v>2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Z126">
        <v>115</v>
      </c>
      <c r="CA126">
        <v>90</v>
      </c>
      <c r="CF126">
        <v>0</v>
      </c>
      <c r="CG126">
        <v>0</v>
      </c>
      <c r="CM126">
        <v>0</v>
      </c>
      <c r="CO126">
        <v>0</v>
      </c>
      <c r="CP126">
        <f t="shared" si="105"/>
        <v>10402</v>
      </c>
      <c r="CQ126">
        <f t="shared" si="106"/>
        <v>511.155</v>
      </c>
      <c r="CR126">
        <f t="shared" si="107"/>
        <v>0</v>
      </c>
      <c r="CS126">
        <f t="shared" si="108"/>
        <v>0</v>
      </c>
      <c r="CT126">
        <f t="shared" si="109"/>
        <v>0</v>
      </c>
      <c r="CU126">
        <f t="shared" si="110"/>
        <v>0</v>
      </c>
      <c r="CV126">
        <f t="shared" si="111"/>
        <v>0</v>
      </c>
      <c r="CW126">
        <f t="shared" si="112"/>
        <v>0</v>
      </c>
      <c r="CX126">
        <f t="shared" si="113"/>
        <v>0</v>
      </c>
      <c r="CY126">
        <f t="shared" si="114"/>
        <v>0</v>
      </c>
      <c r="CZ126">
        <f t="shared" si="115"/>
        <v>0</v>
      </c>
      <c r="DN126">
        <v>0</v>
      </c>
      <c r="DO126">
        <v>0</v>
      </c>
      <c r="DP126">
        <v>1</v>
      </c>
      <c r="DQ126">
        <v>1</v>
      </c>
      <c r="DR126">
        <v>1</v>
      </c>
      <c r="DS126">
        <v>1</v>
      </c>
      <c r="DT126">
        <v>1</v>
      </c>
      <c r="DU126">
        <v>1007</v>
      </c>
      <c r="DV126" t="s">
        <v>91</v>
      </c>
      <c r="DW126" t="s">
        <v>91</v>
      </c>
      <c r="DX126">
        <v>1</v>
      </c>
      <c r="EE126">
        <v>26519266</v>
      </c>
      <c r="EF126">
        <v>2</v>
      </c>
      <c r="EG126" t="s">
        <v>58</v>
      </c>
      <c r="EH126">
        <v>0</v>
      </c>
      <c r="EJ126">
        <v>1</v>
      </c>
      <c r="EK126">
        <v>47001</v>
      </c>
      <c r="EL126" t="s">
        <v>86</v>
      </c>
      <c r="EM126" t="s">
        <v>87</v>
      </c>
      <c r="EQ126">
        <v>0</v>
      </c>
      <c r="ER126">
        <v>55.26</v>
      </c>
      <c r="ES126">
        <v>55.26</v>
      </c>
      <c r="ET126">
        <v>0</v>
      </c>
      <c r="EU126">
        <v>0</v>
      </c>
      <c r="EV126">
        <v>0</v>
      </c>
      <c r="EW126">
        <v>0</v>
      </c>
      <c r="EX126">
        <v>0</v>
      </c>
      <c r="EZ126">
        <v>0</v>
      </c>
      <c r="FQ126">
        <v>0</v>
      </c>
      <c r="FR126">
        <f t="shared" si="116"/>
        <v>0</v>
      </c>
      <c r="FS126">
        <v>0</v>
      </c>
      <c r="FV126" t="s">
        <v>26</v>
      </c>
      <c r="FW126" t="s">
        <v>27</v>
      </c>
      <c r="FX126">
        <v>115</v>
      </c>
      <c r="FY126">
        <v>90</v>
      </c>
      <c r="GA126">
        <v>55.26</v>
      </c>
      <c r="GB126">
        <v>55.26</v>
      </c>
      <c r="GC126">
        <v>0</v>
      </c>
      <c r="GD126">
        <v>0</v>
      </c>
      <c r="GE126">
        <v>0</v>
      </c>
      <c r="GF126">
        <v>55.26</v>
      </c>
      <c r="GG126">
        <v>55.26</v>
      </c>
      <c r="GH126">
        <v>0</v>
      </c>
      <c r="GI126">
        <v>0</v>
      </c>
      <c r="GJ126">
        <v>0</v>
      </c>
      <c r="GK126">
        <v>0</v>
      </c>
    </row>
    <row r="127" spans="1:193" ht="12.75">
      <c r="A127">
        <v>17</v>
      </c>
      <c r="B127">
        <v>1</v>
      </c>
      <c r="C127">
        <f>ROW(SmtRes!A95)</f>
        <v>95</v>
      </c>
      <c r="D127">
        <f>ROW(EtalonRes!A86)</f>
        <v>86</v>
      </c>
      <c r="E127" t="s">
        <v>148</v>
      </c>
      <c r="F127" t="s">
        <v>51</v>
      </c>
      <c r="G127" t="s">
        <v>149</v>
      </c>
      <c r="H127" t="s">
        <v>53</v>
      </c>
      <c r="I127">
        <v>0.12</v>
      </c>
      <c r="J127">
        <v>0</v>
      </c>
      <c r="O127">
        <f t="shared" si="93"/>
        <v>20118.71</v>
      </c>
      <c r="P127">
        <f t="shared" si="94"/>
        <v>1204.47</v>
      </c>
      <c r="Q127">
        <f t="shared" si="95"/>
        <v>10452.84</v>
      </c>
      <c r="R127">
        <f t="shared" si="96"/>
        <v>2954.65</v>
      </c>
      <c r="S127">
        <f t="shared" si="97"/>
        <v>8461.4</v>
      </c>
      <c r="T127">
        <f t="shared" si="98"/>
        <v>0</v>
      </c>
      <c r="U127">
        <f t="shared" si="99"/>
        <v>51.666</v>
      </c>
      <c r="V127">
        <f t="shared" si="100"/>
        <v>12.3504</v>
      </c>
      <c r="W127">
        <f t="shared" si="101"/>
        <v>0</v>
      </c>
      <c r="X127">
        <f t="shared" si="102"/>
        <v>12671.82</v>
      </c>
      <c r="Y127">
        <f t="shared" si="103"/>
        <v>7762.91</v>
      </c>
      <c r="AA127">
        <v>0</v>
      </c>
      <c r="AB127">
        <f t="shared" si="104"/>
        <v>17168.37</v>
      </c>
      <c r="AC127">
        <f>(ES127)</f>
        <v>1117.73</v>
      </c>
      <c r="AD127">
        <f>(ET127)</f>
        <v>12098.19</v>
      </c>
      <c r="AE127">
        <f>(EU127)</f>
        <v>1380.16</v>
      </c>
      <c r="AF127">
        <f>(EV127)</f>
        <v>3952.45</v>
      </c>
      <c r="AG127">
        <f>(AP127)</f>
        <v>0</v>
      </c>
      <c r="AH127">
        <f>(EW127)</f>
        <v>430.55</v>
      </c>
      <c r="AI127">
        <f>(EX127)</f>
        <v>102.92</v>
      </c>
      <c r="AJ127">
        <f>(AS127)</f>
        <v>0</v>
      </c>
      <c r="AK127">
        <v>17168.37</v>
      </c>
      <c r="AL127">
        <v>1117.73</v>
      </c>
      <c r="AM127">
        <v>12098.19</v>
      </c>
      <c r="AN127">
        <v>1380.16</v>
      </c>
      <c r="AO127">
        <v>3952.45</v>
      </c>
      <c r="AP127">
        <v>0</v>
      </c>
      <c r="AQ127">
        <v>430.55</v>
      </c>
      <c r="AR127">
        <v>102.92</v>
      </c>
      <c r="AS127">
        <v>0</v>
      </c>
      <c r="AT127">
        <v>111</v>
      </c>
      <c r="AU127">
        <v>68</v>
      </c>
      <c r="AV127">
        <v>1</v>
      </c>
      <c r="AW127">
        <v>1</v>
      </c>
      <c r="AX127">
        <v>1</v>
      </c>
      <c r="AY127">
        <v>1</v>
      </c>
      <c r="AZ127">
        <v>11.8</v>
      </c>
      <c r="BA127">
        <v>17.84</v>
      </c>
      <c r="BB127">
        <v>7.2</v>
      </c>
      <c r="BC127">
        <v>8.98</v>
      </c>
      <c r="BH127">
        <v>0</v>
      </c>
      <c r="BI127">
        <v>1</v>
      </c>
      <c r="BJ127" t="s">
        <v>54</v>
      </c>
      <c r="BM127">
        <v>7001</v>
      </c>
      <c r="BN127">
        <v>0</v>
      </c>
      <c r="BO127" t="s">
        <v>51</v>
      </c>
      <c r="BP127">
        <v>1</v>
      </c>
      <c r="BQ127">
        <v>2</v>
      </c>
      <c r="BR127">
        <v>0</v>
      </c>
      <c r="BS127">
        <v>17.84</v>
      </c>
      <c r="BT127">
        <v>1</v>
      </c>
      <c r="BU127">
        <v>1</v>
      </c>
      <c r="BV127">
        <v>1</v>
      </c>
      <c r="BW127">
        <v>1</v>
      </c>
      <c r="BX127">
        <v>1</v>
      </c>
      <c r="BZ127">
        <v>130</v>
      </c>
      <c r="CA127">
        <v>85</v>
      </c>
      <c r="CF127">
        <v>0</v>
      </c>
      <c r="CG127">
        <v>0</v>
      </c>
      <c r="CM127">
        <v>0</v>
      </c>
      <c r="CO127">
        <v>0</v>
      </c>
      <c r="CP127">
        <f t="shared" si="105"/>
        <v>20118.71</v>
      </c>
      <c r="CQ127">
        <f t="shared" si="106"/>
        <v>10037.215400000001</v>
      </c>
      <c r="CR127">
        <f t="shared" si="107"/>
        <v>87106.96800000001</v>
      </c>
      <c r="CS127">
        <f t="shared" si="108"/>
        <v>24622.0544</v>
      </c>
      <c r="CT127">
        <f t="shared" si="109"/>
        <v>70511.708</v>
      </c>
      <c r="CU127">
        <f t="shared" si="110"/>
        <v>0</v>
      </c>
      <c r="CV127">
        <f t="shared" si="111"/>
        <v>430.55</v>
      </c>
      <c r="CW127">
        <f t="shared" si="112"/>
        <v>102.92</v>
      </c>
      <c r="CX127">
        <f t="shared" si="113"/>
        <v>0</v>
      </c>
      <c r="CY127">
        <f t="shared" si="114"/>
        <v>12671.8155</v>
      </c>
      <c r="CZ127">
        <f t="shared" si="115"/>
        <v>7762.914</v>
      </c>
      <c r="DN127">
        <v>0</v>
      </c>
      <c r="DO127">
        <v>0</v>
      </c>
      <c r="DP127">
        <v>1</v>
      </c>
      <c r="DQ127">
        <v>1</v>
      </c>
      <c r="DR127">
        <v>1</v>
      </c>
      <c r="DS127">
        <v>1</v>
      </c>
      <c r="DT127">
        <v>1</v>
      </c>
      <c r="DU127">
        <v>1010</v>
      </c>
      <c r="DV127" t="s">
        <v>53</v>
      </c>
      <c r="DW127" t="s">
        <v>53</v>
      </c>
      <c r="DX127">
        <v>100</v>
      </c>
      <c r="EE127">
        <v>26519187</v>
      </c>
      <c r="EF127">
        <v>2</v>
      </c>
      <c r="EG127" t="s">
        <v>58</v>
      </c>
      <c r="EH127">
        <v>0</v>
      </c>
      <c r="EJ127">
        <v>1</v>
      </c>
      <c r="EK127">
        <v>7001</v>
      </c>
      <c r="EL127" t="s">
        <v>59</v>
      </c>
      <c r="EM127" t="s">
        <v>60</v>
      </c>
      <c r="EQ127">
        <v>0</v>
      </c>
      <c r="ER127">
        <v>17168.37</v>
      </c>
      <c r="ES127">
        <v>1117.73</v>
      </c>
      <c r="ET127">
        <v>12098.19</v>
      </c>
      <c r="EU127">
        <v>1380.16</v>
      </c>
      <c r="EV127">
        <v>3952.45</v>
      </c>
      <c r="EW127">
        <v>430.55</v>
      </c>
      <c r="EX127">
        <v>102.92</v>
      </c>
      <c r="EY127">
        <v>0</v>
      </c>
      <c r="EZ127">
        <v>0</v>
      </c>
      <c r="FQ127">
        <v>0</v>
      </c>
      <c r="FR127">
        <f t="shared" si="116"/>
        <v>0</v>
      </c>
      <c r="FS127">
        <v>0</v>
      </c>
      <c r="FV127" t="s">
        <v>26</v>
      </c>
      <c r="FW127" t="s">
        <v>27</v>
      </c>
      <c r="FX127">
        <v>130</v>
      </c>
      <c r="FY127">
        <v>85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</row>
    <row r="128" spans="1:193" ht="12.75">
      <c r="A128">
        <v>18</v>
      </c>
      <c r="B128">
        <v>1</v>
      </c>
      <c r="C128">
        <v>92</v>
      </c>
      <c r="E128" t="s">
        <v>150</v>
      </c>
      <c r="F128" t="s">
        <v>151</v>
      </c>
      <c r="G128" t="s">
        <v>152</v>
      </c>
      <c r="H128" t="s">
        <v>47</v>
      </c>
      <c r="I128">
        <f>I127*J128</f>
        <v>18</v>
      </c>
      <c r="J128">
        <v>150</v>
      </c>
      <c r="O128">
        <f t="shared" si="93"/>
        <v>4201.69</v>
      </c>
      <c r="P128">
        <f t="shared" si="94"/>
        <v>4201.69</v>
      </c>
      <c r="Q128">
        <f t="shared" si="95"/>
        <v>0</v>
      </c>
      <c r="R128">
        <f t="shared" si="96"/>
        <v>0</v>
      </c>
      <c r="S128">
        <f t="shared" si="97"/>
        <v>0</v>
      </c>
      <c r="T128">
        <f t="shared" si="98"/>
        <v>0</v>
      </c>
      <c r="U128">
        <f t="shared" si="99"/>
        <v>0</v>
      </c>
      <c r="V128">
        <f t="shared" si="100"/>
        <v>0</v>
      </c>
      <c r="W128">
        <f t="shared" si="101"/>
        <v>0</v>
      </c>
      <c r="X128">
        <f t="shared" si="102"/>
        <v>0</v>
      </c>
      <c r="Y128">
        <f t="shared" si="103"/>
        <v>0</v>
      </c>
      <c r="AA128">
        <v>0</v>
      </c>
      <c r="AB128">
        <f t="shared" si="104"/>
        <v>67.66</v>
      </c>
      <c r="AC128">
        <f aca="true" t="shared" si="118" ref="AC128:AJ128">AL128</f>
        <v>67.66</v>
      </c>
      <c r="AD128">
        <f t="shared" si="118"/>
        <v>0</v>
      </c>
      <c r="AE128">
        <f t="shared" si="118"/>
        <v>0</v>
      </c>
      <c r="AF128">
        <f t="shared" si="118"/>
        <v>0</v>
      </c>
      <c r="AG128">
        <f t="shared" si="118"/>
        <v>0</v>
      </c>
      <c r="AH128">
        <f t="shared" si="118"/>
        <v>0</v>
      </c>
      <c r="AI128">
        <f t="shared" si="118"/>
        <v>0</v>
      </c>
      <c r="AJ128">
        <f t="shared" si="118"/>
        <v>0</v>
      </c>
      <c r="AK128">
        <v>67.66</v>
      </c>
      <c r="AL128">
        <v>67.66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111</v>
      </c>
      <c r="AU128">
        <v>68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3.45</v>
      </c>
      <c r="BH128">
        <v>3</v>
      </c>
      <c r="BI128">
        <v>1</v>
      </c>
      <c r="BJ128" t="s">
        <v>153</v>
      </c>
      <c r="BM128">
        <v>7001</v>
      </c>
      <c r="BN128">
        <v>0</v>
      </c>
      <c r="BO128" t="s">
        <v>151</v>
      </c>
      <c r="BP128">
        <v>1</v>
      </c>
      <c r="BQ128">
        <v>2</v>
      </c>
      <c r="BR128">
        <v>0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Z128">
        <v>130</v>
      </c>
      <c r="CA128">
        <v>85</v>
      </c>
      <c r="CF128">
        <v>0</v>
      </c>
      <c r="CG128">
        <v>0</v>
      </c>
      <c r="CM128">
        <v>0</v>
      </c>
      <c r="CO128">
        <v>0</v>
      </c>
      <c r="CP128">
        <f t="shared" si="105"/>
        <v>4201.69</v>
      </c>
      <c r="CQ128">
        <f t="shared" si="106"/>
        <v>233.427</v>
      </c>
      <c r="CR128">
        <f t="shared" si="107"/>
        <v>0</v>
      </c>
      <c r="CS128">
        <f t="shared" si="108"/>
        <v>0</v>
      </c>
      <c r="CT128">
        <f t="shared" si="109"/>
        <v>0</v>
      </c>
      <c r="CU128">
        <f t="shared" si="110"/>
        <v>0</v>
      </c>
      <c r="CV128">
        <f t="shared" si="111"/>
        <v>0</v>
      </c>
      <c r="CW128">
        <f t="shared" si="112"/>
        <v>0</v>
      </c>
      <c r="CX128">
        <f t="shared" si="113"/>
        <v>0</v>
      </c>
      <c r="CY128">
        <f t="shared" si="114"/>
        <v>0</v>
      </c>
      <c r="CZ128">
        <f t="shared" si="115"/>
        <v>0</v>
      </c>
      <c r="DN128">
        <v>0</v>
      </c>
      <c r="DO128">
        <v>0</v>
      </c>
      <c r="DP128">
        <v>1</v>
      </c>
      <c r="DQ128">
        <v>1</v>
      </c>
      <c r="DR128">
        <v>1</v>
      </c>
      <c r="DS128">
        <v>1</v>
      </c>
      <c r="DT128">
        <v>1</v>
      </c>
      <c r="DU128">
        <v>1003</v>
      </c>
      <c r="DV128" t="s">
        <v>47</v>
      </c>
      <c r="DW128" t="s">
        <v>47</v>
      </c>
      <c r="DX128">
        <v>1</v>
      </c>
      <c r="EE128">
        <v>26519187</v>
      </c>
      <c r="EF128">
        <v>2</v>
      </c>
      <c r="EG128" t="s">
        <v>58</v>
      </c>
      <c r="EH128">
        <v>0</v>
      </c>
      <c r="EJ128">
        <v>1</v>
      </c>
      <c r="EK128">
        <v>7001</v>
      </c>
      <c r="EL128" t="s">
        <v>59</v>
      </c>
      <c r="EM128" t="s">
        <v>60</v>
      </c>
      <c r="EQ128">
        <v>0</v>
      </c>
      <c r="ER128">
        <v>0</v>
      </c>
      <c r="ES128">
        <v>67.66</v>
      </c>
      <c r="ET128">
        <v>0</v>
      </c>
      <c r="EU128">
        <v>0</v>
      </c>
      <c r="EV128">
        <v>0</v>
      </c>
      <c r="EW128">
        <v>0</v>
      </c>
      <c r="EX128">
        <v>0</v>
      </c>
      <c r="EZ128">
        <v>0</v>
      </c>
      <c r="FQ128">
        <v>0</v>
      </c>
      <c r="FR128">
        <f t="shared" si="116"/>
        <v>0</v>
      </c>
      <c r="FS128">
        <v>0</v>
      </c>
      <c r="FV128" t="s">
        <v>26</v>
      </c>
      <c r="FW128" t="s">
        <v>27</v>
      </c>
      <c r="FX128">
        <v>130</v>
      </c>
      <c r="FY128">
        <v>85</v>
      </c>
      <c r="GA128">
        <v>67.66</v>
      </c>
      <c r="GB128">
        <v>67.66</v>
      </c>
      <c r="GC128">
        <v>0</v>
      </c>
      <c r="GD128">
        <v>0</v>
      </c>
      <c r="GE128">
        <v>0</v>
      </c>
      <c r="GF128">
        <v>67.66</v>
      </c>
      <c r="GG128">
        <v>67.66</v>
      </c>
      <c r="GH128">
        <v>0</v>
      </c>
      <c r="GI128">
        <v>0</v>
      </c>
      <c r="GJ128">
        <v>0</v>
      </c>
      <c r="GK128">
        <v>0</v>
      </c>
    </row>
    <row r="129" spans="1:193" ht="12.75">
      <c r="A129">
        <v>17</v>
      </c>
      <c r="B129">
        <v>1</v>
      </c>
      <c r="C129">
        <f>ROW(SmtRes!A118)</f>
        <v>118</v>
      </c>
      <c r="D129">
        <f>ROW(EtalonRes!A108)</f>
        <v>108</v>
      </c>
      <c r="E129" t="s">
        <v>154</v>
      </c>
      <c r="F129" t="s">
        <v>155</v>
      </c>
      <c r="G129" t="s">
        <v>156</v>
      </c>
      <c r="H129" t="s">
        <v>39</v>
      </c>
      <c r="I129">
        <v>0.164</v>
      </c>
      <c r="J129">
        <v>0</v>
      </c>
      <c r="O129">
        <f t="shared" si="93"/>
        <v>2425.87</v>
      </c>
      <c r="P129">
        <f t="shared" si="94"/>
        <v>234.13</v>
      </c>
      <c r="Q129">
        <f t="shared" si="95"/>
        <v>573.59</v>
      </c>
      <c r="R129">
        <f t="shared" si="96"/>
        <v>151.44</v>
      </c>
      <c r="S129">
        <f t="shared" si="97"/>
        <v>1618.15</v>
      </c>
      <c r="T129">
        <f t="shared" si="98"/>
        <v>0</v>
      </c>
      <c r="U129">
        <f t="shared" si="99"/>
        <v>10.377920000000001</v>
      </c>
      <c r="V129">
        <f t="shared" si="100"/>
        <v>0.62648</v>
      </c>
      <c r="W129">
        <f t="shared" si="101"/>
        <v>0</v>
      </c>
      <c r="X129">
        <f t="shared" si="102"/>
        <v>1362.58</v>
      </c>
      <c r="Y129">
        <f t="shared" si="103"/>
        <v>1203.32</v>
      </c>
      <c r="AA129">
        <v>0</v>
      </c>
      <c r="AB129">
        <f t="shared" si="104"/>
        <v>1262.73</v>
      </c>
      <c r="AC129">
        <f>(ES129)</f>
        <v>232.51</v>
      </c>
      <c r="AD129">
        <f>(ET129)</f>
        <v>477.15</v>
      </c>
      <c r="AE129">
        <f>(EU129)</f>
        <v>51.76</v>
      </c>
      <c r="AF129">
        <f>(EV129)</f>
        <v>553.07</v>
      </c>
      <c r="AG129">
        <f>(AP129)</f>
        <v>0</v>
      </c>
      <c r="AH129">
        <f>(EW129)</f>
        <v>63.28</v>
      </c>
      <c r="AI129">
        <f>(EX129)</f>
        <v>3.82</v>
      </c>
      <c r="AJ129">
        <f>(AS129)</f>
        <v>0</v>
      </c>
      <c r="AK129">
        <v>1262.73</v>
      </c>
      <c r="AL129">
        <v>232.51</v>
      </c>
      <c r="AM129">
        <v>477.15</v>
      </c>
      <c r="AN129">
        <v>51.76</v>
      </c>
      <c r="AO129">
        <v>553.07</v>
      </c>
      <c r="AP129">
        <v>0</v>
      </c>
      <c r="AQ129">
        <v>63.28</v>
      </c>
      <c r="AR129">
        <v>3.82</v>
      </c>
      <c r="AS129">
        <v>0</v>
      </c>
      <c r="AT129">
        <v>77</v>
      </c>
      <c r="AU129">
        <v>68</v>
      </c>
      <c r="AV129">
        <v>1</v>
      </c>
      <c r="AW129">
        <v>1</v>
      </c>
      <c r="AX129">
        <v>1</v>
      </c>
      <c r="AY129">
        <v>1</v>
      </c>
      <c r="AZ129">
        <v>13.11</v>
      </c>
      <c r="BA129">
        <v>17.84</v>
      </c>
      <c r="BB129">
        <v>7.33</v>
      </c>
      <c r="BC129">
        <v>6.14</v>
      </c>
      <c r="BH129">
        <v>0</v>
      </c>
      <c r="BI129">
        <v>1</v>
      </c>
      <c r="BJ129" t="s">
        <v>157</v>
      </c>
      <c r="BM129">
        <v>9001</v>
      </c>
      <c r="BN129">
        <v>0</v>
      </c>
      <c r="BO129" t="s">
        <v>155</v>
      </c>
      <c r="BP129">
        <v>1</v>
      </c>
      <c r="BQ129">
        <v>2</v>
      </c>
      <c r="BR129">
        <v>0</v>
      </c>
      <c r="BS129">
        <v>17.84</v>
      </c>
      <c r="BT129">
        <v>1</v>
      </c>
      <c r="BU129">
        <v>1</v>
      </c>
      <c r="BV129">
        <v>1</v>
      </c>
      <c r="BW129">
        <v>1</v>
      </c>
      <c r="BX129">
        <v>1</v>
      </c>
      <c r="BZ129">
        <v>90</v>
      </c>
      <c r="CA129">
        <v>85</v>
      </c>
      <c r="CF129">
        <v>0</v>
      </c>
      <c r="CG129">
        <v>0</v>
      </c>
      <c r="CM129">
        <v>0</v>
      </c>
      <c r="CO129">
        <v>0</v>
      </c>
      <c r="CP129">
        <f t="shared" si="105"/>
        <v>2425.87</v>
      </c>
      <c r="CQ129">
        <f t="shared" si="106"/>
        <v>1427.6113999999998</v>
      </c>
      <c r="CR129">
        <f t="shared" si="107"/>
        <v>3497.5094999999997</v>
      </c>
      <c r="CS129">
        <f t="shared" si="108"/>
        <v>923.3983999999999</v>
      </c>
      <c r="CT129">
        <f t="shared" si="109"/>
        <v>9866.768800000002</v>
      </c>
      <c r="CU129">
        <f t="shared" si="110"/>
        <v>0</v>
      </c>
      <c r="CV129">
        <f t="shared" si="111"/>
        <v>63.28</v>
      </c>
      <c r="CW129">
        <f t="shared" si="112"/>
        <v>3.82</v>
      </c>
      <c r="CX129">
        <f t="shared" si="113"/>
        <v>0</v>
      </c>
      <c r="CY129">
        <f t="shared" si="114"/>
        <v>1362.5843000000002</v>
      </c>
      <c r="CZ129">
        <f t="shared" si="115"/>
        <v>1203.3212</v>
      </c>
      <c r="DN129">
        <v>0</v>
      </c>
      <c r="DO129">
        <v>0</v>
      </c>
      <c r="DP129">
        <v>1</v>
      </c>
      <c r="DQ129">
        <v>1</v>
      </c>
      <c r="DR129">
        <v>1</v>
      </c>
      <c r="DS129">
        <v>1</v>
      </c>
      <c r="DT129">
        <v>1</v>
      </c>
      <c r="DU129">
        <v>1009</v>
      </c>
      <c r="DV129" t="s">
        <v>39</v>
      </c>
      <c r="DW129" t="s">
        <v>158</v>
      </c>
      <c r="DX129">
        <v>1000</v>
      </c>
      <c r="EE129">
        <v>26519196</v>
      </c>
      <c r="EF129">
        <v>2</v>
      </c>
      <c r="EG129" t="s">
        <v>58</v>
      </c>
      <c r="EH129">
        <v>0</v>
      </c>
      <c r="EJ129">
        <v>1</v>
      </c>
      <c r="EK129">
        <v>9001</v>
      </c>
      <c r="EL129" t="s">
        <v>159</v>
      </c>
      <c r="EM129" t="s">
        <v>160</v>
      </c>
      <c r="EQ129">
        <v>0</v>
      </c>
      <c r="ER129">
        <v>1262.73</v>
      </c>
      <c r="ES129">
        <v>232.51</v>
      </c>
      <c r="ET129">
        <v>477.15</v>
      </c>
      <c r="EU129">
        <v>51.76</v>
      </c>
      <c r="EV129">
        <v>553.07</v>
      </c>
      <c r="EW129">
        <v>63.28</v>
      </c>
      <c r="EX129">
        <v>3.82</v>
      </c>
      <c r="EY129">
        <v>0</v>
      </c>
      <c r="EZ129">
        <v>0</v>
      </c>
      <c r="FQ129">
        <v>0</v>
      </c>
      <c r="FR129">
        <f t="shared" si="116"/>
        <v>0</v>
      </c>
      <c r="FS129">
        <v>0</v>
      </c>
      <c r="FV129" t="s">
        <v>26</v>
      </c>
      <c r="FW129" t="s">
        <v>27</v>
      </c>
      <c r="FX129">
        <v>90</v>
      </c>
      <c r="FY129">
        <v>85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</row>
    <row r="130" spans="1:193" ht="12.75">
      <c r="A130">
        <v>18</v>
      </c>
      <c r="B130">
        <v>1</v>
      </c>
      <c r="C130">
        <v>114</v>
      </c>
      <c r="E130" t="s">
        <v>161</v>
      </c>
      <c r="F130" t="s">
        <v>151</v>
      </c>
      <c r="G130" t="s">
        <v>152</v>
      </c>
      <c r="H130" t="s">
        <v>47</v>
      </c>
      <c r="I130">
        <f>I129*J130</f>
        <v>16</v>
      </c>
      <c r="J130">
        <v>97.5609756097561</v>
      </c>
      <c r="O130">
        <f t="shared" si="93"/>
        <v>3734.83</v>
      </c>
      <c r="P130">
        <f t="shared" si="94"/>
        <v>3734.83</v>
      </c>
      <c r="Q130">
        <f t="shared" si="95"/>
        <v>0</v>
      </c>
      <c r="R130">
        <f t="shared" si="96"/>
        <v>0</v>
      </c>
      <c r="S130">
        <f t="shared" si="97"/>
        <v>0</v>
      </c>
      <c r="T130">
        <f t="shared" si="98"/>
        <v>0</v>
      </c>
      <c r="U130">
        <f t="shared" si="99"/>
        <v>0</v>
      </c>
      <c r="V130">
        <f t="shared" si="100"/>
        <v>0</v>
      </c>
      <c r="W130">
        <f t="shared" si="101"/>
        <v>0</v>
      </c>
      <c r="X130">
        <f t="shared" si="102"/>
        <v>0</v>
      </c>
      <c r="Y130">
        <f t="shared" si="103"/>
        <v>0</v>
      </c>
      <c r="AA130">
        <v>0</v>
      </c>
      <c r="AB130">
        <f t="shared" si="104"/>
        <v>67.66</v>
      </c>
      <c r="AC130">
        <f aca="true" t="shared" si="119" ref="AC130:AJ130">AL130</f>
        <v>67.66</v>
      </c>
      <c r="AD130">
        <f t="shared" si="119"/>
        <v>0</v>
      </c>
      <c r="AE130">
        <f t="shared" si="119"/>
        <v>0</v>
      </c>
      <c r="AF130">
        <f t="shared" si="119"/>
        <v>0</v>
      </c>
      <c r="AG130">
        <f t="shared" si="119"/>
        <v>0</v>
      </c>
      <c r="AH130">
        <f t="shared" si="119"/>
        <v>0</v>
      </c>
      <c r="AI130">
        <f t="shared" si="119"/>
        <v>0</v>
      </c>
      <c r="AJ130">
        <f t="shared" si="119"/>
        <v>0</v>
      </c>
      <c r="AK130">
        <v>67.66</v>
      </c>
      <c r="AL130">
        <v>67.66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111</v>
      </c>
      <c r="AU130">
        <v>68</v>
      </c>
      <c r="AV130">
        <v>1</v>
      </c>
      <c r="AW130">
        <v>1</v>
      </c>
      <c r="AX130">
        <v>1</v>
      </c>
      <c r="AY130">
        <v>1</v>
      </c>
      <c r="AZ130">
        <v>1</v>
      </c>
      <c r="BA130">
        <v>1</v>
      </c>
      <c r="BB130">
        <v>1</v>
      </c>
      <c r="BC130">
        <v>3.45</v>
      </c>
      <c r="BH130">
        <v>3</v>
      </c>
      <c r="BI130">
        <v>1</v>
      </c>
      <c r="BJ130" t="s">
        <v>153</v>
      </c>
      <c r="BM130">
        <v>7001</v>
      </c>
      <c r="BN130">
        <v>0</v>
      </c>
      <c r="BO130" t="s">
        <v>151</v>
      </c>
      <c r="BP130">
        <v>1</v>
      </c>
      <c r="BQ130">
        <v>2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Z130">
        <v>130</v>
      </c>
      <c r="CA130">
        <v>85</v>
      </c>
      <c r="CF130">
        <v>0</v>
      </c>
      <c r="CG130">
        <v>0</v>
      </c>
      <c r="CM130">
        <v>0</v>
      </c>
      <c r="CO130">
        <v>0</v>
      </c>
      <c r="CP130">
        <f t="shared" si="105"/>
        <v>3734.83</v>
      </c>
      <c r="CQ130">
        <f t="shared" si="106"/>
        <v>233.427</v>
      </c>
      <c r="CR130">
        <f t="shared" si="107"/>
        <v>0</v>
      </c>
      <c r="CS130">
        <f t="shared" si="108"/>
        <v>0</v>
      </c>
      <c r="CT130">
        <f t="shared" si="109"/>
        <v>0</v>
      </c>
      <c r="CU130">
        <f t="shared" si="110"/>
        <v>0</v>
      </c>
      <c r="CV130">
        <f t="shared" si="111"/>
        <v>0</v>
      </c>
      <c r="CW130">
        <f t="shared" si="112"/>
        <v>0</v>
      </c>
      <c r="CX130">
        <f t="shared" si="113"/>
        <v>0</v>
      </c>
      <c r="CY130">
        <f t="shared" si="114"/>
        <v>0</v>
      </c>
      <c r="CZ130">
        <f t="shared" si="115"/>
        <v>0</v>
      </c>
      <c r="DN130">
        <v>0</v>
      </c>
      <c r="DO130">
        <v>0</v>
      </c>
      <c r="DP130">
        <v>1</v>
      </c>
      <c r="DQ130">
        <v>1</v>
      </c>
      <c r="DR130">
        <v>1</v>
      </c>
      <c r="DS130">
        <v>1</v>
      </c>
      <c r="DT130">
        <v>1</v>
      </c>
      <c r="DU130">
        <v>1003</v>
      </c>
      <c r="DV130" t="s">
        <v>47</v>
      </c>
      <c r="DW130" t="s">
        <v>47</v>
      </c>
      <c r="DX130">
        <v>1</v>
      </c>
      <c r="EE130">
        <v>26519187</v>
      </c>
      <c r="EF130">
        <v>2</v>
      </c>
      <c r="EG130" t="s">
        <v>58</v>
      </c>
      <c r="EH130">
        <v>0</v>
      </c>
      <c r="EJ130">
        <v>1</v>
      </c>
      <c r="EK130">
        <v>7001</v>
      </c>
      <c r="EL130" t="s">
        <v>59</v>
      </c>
      <c r="EM130" t="s">
        <v>60</v>
      </c>
      <c r="EQ130">
        <v>0</v>
      </c>
      <c r="ER130">
        <v>0</v>
      </c>
      <c r="ES130">
        <v>67.66</v>
      </c>
      <c r="ET130">
        <v>0</v>
      </c>
      <c r="EU130">
        <v>0</v>
      </c>
      <c r="EV130">
        <v>0</v>
      </c>
      <c r="EW130">
        <v>0</v>
      </c>
      <c r="EX130">
        <v>0</v>
      </c>
      <c r="EZ130">
        <v>0</v>
      </c>
      <c r="FQ130">
        <v>0</v>
      </c>
      <c r="FR130">
        <f t="shared" si="116"/>
        <v>0</v>
      </c>
      <c r="FS130">
        <v>0</v>
      </c>
      <c r="FV130" t="s">
        <v>26</v>
      </c>
      <c r="FW130" t="s">
        <v>27</v>
      </c>
      <c r="FX130">
        <v>130</v>
      </c>
      <c r="FY130">
        <v>85</v>
      </c>
      <c r="GA130">
        <v>67.66</v>
      </c>
      <c r="GB130">
        <v>67.66</v>
      </c>
      <c r="GC130">
        <v>0</v>
      </c>
      <c r="GD130">
        <v>0</v>
      </c>
      <c r="GE130">
        <v>0</v>
      </c>
      <c r="GF130">
        <v>67.66</v>
      </c>
      <c r="GG130">
        <v>67.66</v>
      </c>
      <c r="GH130">
        <v>0</v>
      </c>
      <c r="GI130">
        <v>0</v>
      </c>
      <c r="GJ130">
        <v>0</v>
      </c>
      <c r="GK130">
        <v>0</v>
      </c>
    </row>
    <row r="131" spans="1:193" ht="12.75">
      <c r="A131">
        <v>17</v>
      </c>
      <c r="B131">
        <v>1</v>
      </c>
      <c r="C131">
        <f>ROW(SmtRes!A126)</f>
        <v>126</v>
      </c>
      <c r="D131">
        <f>ROW(EtalonRes!A116)</f>
        <v>116</v>
      </c>
      <c r="E131" t="s">
        <v>162</v>
      </c>
      <c r="F131" t="s">
        <v>163</v>
      </c>
      <c r="G131" t="s">
        <v>164</v>
      </c>
      <c r="H131" t="s">
        <v>65</v>
      </c>
      <c r="I131">
        <v>0.106</v>
      </c>
      <c r="J131">
        <v>0</v>
      </c>
      <c r="O131">
        <f t="shared" si="93"/>
        <v>170.7</v>
      </c>
      <c r="P131">
        <f t="shared" si="94"/>
        <v>58.88</v>
      </c>
      <c r="Q131">
        <f t="shared" si="95"/>
        <v>4.88</v>
      </c>
      <c r="R131">
        <f t="shared" si="96"/>
        <v>0.19</v>
      </c>
      <c r="S131">
        <f t="shared" si="97"/>
        <v>106.94</v>
      </c>
      <c r="T131">
        <f t="shared" si="98"/>
        <v>0</v>
      </c>
      <c r="U131">
        <f t="shared" si="99"/>
        <v>0.5628599999999999</v>
      </c>
      <c r="V131">
        <f t="shared" si="100"/>
        <v>0.00106</v>
      </c>
      <c r="W131">
        <f t="shared" si="101"/>
        <v>0</v>
      </c>
      <c r="X131">
        <f t="shared" si="102"/>
        <v>82.49</v>
      </c>
      <c r="Y131">
        <f t="shared" si="103"/>
        <v>59.99</v>
      </c>
      <c r="AA131">
        <v>0</v>
      </c>
      <c r="AB131">
        <f t="shared" si="104"/>
        <v>268.8</v>
      </c>
      <c r="AC131">
        <f aca="true" t="shared" si="120" ref="AC131:AF132">(ES131)</f>
        <v>202.72</v>
      </c>
      <c r="AD131">
        <f t="shared" si="120"/>
        <v>9.53</v>
      </c>
      <c r="AE131">
        <f t="shared" si="120"/>
        <v>0.1</v>
      </c>
      <c r="AF131">
        <f t="shared" si="120"/>
        <v>56.55</v>
      </c>
      <c r="AG131">
        <f>(AP131)</f>
        <v>0</v>
      </c>
      <c r="AH131">
        <f>(EW131)</f>
        <v>5.31</v>
      </c>
      <c r="AI131">
        <f>(EX131)</f>
        <v>0.01</v>
      </c>
      <c r="AJ131">
        <f>(AS131)</f>
        <v>0</v>
      </c>
      <c r="AK131">
        <v>268.8</v>
      </c>
      <c r="AL131">
        <v>202.72</v>
      </c>
      <c r="AM131">
        <v>9.53</v>
      </c>
      <c r="AN131">
        <v>0.1</v>
      </c>
      <c r="AO131">
        <v>56.55</v>
      </c>
      <c r="AP131">
        <v>0</v>
      </c>
      <c r="AQ131">
        <v>5.31</v>
      </c>
      <c r="AR131">
        <v>0.01</v>
      </c>
      <c r="AS131">
        <v>0</v>
      </c>
      <c r="AT131">
        <v>77</v>
      </c>
      <c r="AU131">
        <v>56</v>
      </c>
      <c r="AV131">
        <v>1</v>
      </c>
      <c r="AW131">
        <v>1</v>
      </c>
      <c r="AX131">
        <v>1</v>
      </c>
      <c r="AY131">
        <v>1</v>
      </c>
      <c r="AZ131">
        <v>8.22</v>
      </c>
      <c r="BA131">
        <v>17.84</v>
      </c>
      <c r="BB131">
        <v>4.83</v>
      </c>
      <c r="BC131">
        <v>2.74</v>
      </c>
      <c r="BH131">
        <v>0</v>
      </c>
      <c r="BI131">
        <v>1</v>
      </c>
      <c r="BJ131" t="s">
        <v>165</v>
      </c>
      <c r="BM131">
        <v>13001</v>
      </c>
      <c r="BN131">
        <v>0</v>
      </c>
      <c r="BO131" t="s">
        <v>163</v>
      </c>
      <c r="BP131">
        <v>1</v>
      </c>
      <c r="BQ131">
        <v>2</v>
      </c>
      <c r="BR131">
        <v>0</v>
      </c>
      <c r="BS131">
        <v>17.84</v>
      </c>
      <c r="BT131">
        <v>1</v>
      </c>
      <c r="BU131">
        <v>1</v>
      </c>
      <c r="BV131">
        <v>1</v>
      </c>
      <c r="BW131">
        <v>1</v>
      </c>
      <c r="BX131">
        <v>1</v>
      </c>
      <c r="BZ131">
        <v>90</v>
      </c>
      <c r="CA131">
        <v>70</v>
      </c>
      <c r="CF131">
        <v>0</v>
      </c>
      <c r="CG131">
        <v>0</v>
      </c>
      <c r="CM131">
        <v>0</v>
      </c>
      <c r="CO131">
        <v>0</v>
      </c>
      <c r="CP131">
        <f t="shared" si="105"/>
        <v>170.7</v>
      </c>
      <c r="CQ131">
        <f t="shared" si="106"/>
        <v>555.4528</v>
      </c>
      <c r="CR131">
        <f t="shared" si="107"/>
        <v>46.0299</v>
      </c>
      <c r="CS131">
        <f t="shared" si="108"/>
        <v>1.784</v>
      </c>
      <c r="CT131">
        <f t="shared" si="109"/>
        <v>1008.852</v>
      </c>
      <c r="CU131">
        <f t="shared" si="110"/>
        <v>0</v>
      </c>
      <c r="CV131">
        <f t="shared" si="111"/>
        <v>5.31</v>
      </c>
      <c r="CW131">
        <f t="shared" si="112"/>
        <v>0.01</v>
      </c>
      <c r="CX131">
        <f t="shared" si="113"/>
        <v>0</v>
      </c>
      <c r="CY131">
        <f t="shared" si="114"/>
        <v>82.4901</v>
      </c>
      <c r="CZ131">
        <f t="shared" si="115"/>
        <v>59.9928</v>
      </c>
      <c r="DN131">
        <v>0</v>
      </c>
      <c r="DO131">
        <v>0</v>
      </c>
      <c r="DP131">
        <v>1</v>
      </c>
      <c r="DQ131">
        <v>1</v>
      </c>
      <c r="DR131">
        <v>1</v>
      </c>
      <c r="DS131">
        <v>1</v>
      </c>
      <c r="DT131">
        <v>1</v>
      </c>
      <c r="DU131">
        <v>1005</v>
      </c>
      <c r="DV131" t="s">
        <v>65</v>
      </c>
      <c r="DW131" t="s">
        <v>166</v>
      </c>
      <c r="DX131">
        <v>100</v>
      </c>
      <c r="EE131">
        <v>26519200</v>
      </c>
      <c r="EF131">
        <v>2</v>
      </c>
      <c r="EG131" t="s">
        <v>58</v>
      </c>
      <c r="EH131">
        <v>0</v>
      </c>
      <c r="EJ131">
        <v>1</v>
      </c>
      <c r="EK131">
        <v>13001</v>
      </c>
      <c r="EL131" t="s">
        <v>167</v>
      </c>
      <c r="EM131" t="s">
        <v>168</v>
      </c>
      <c r="EQ131">
        <v>0</v>
      </c>
      <c r="ER131">
        <v>268.8</v>
      </c>
      <c r="ES131">
        <v>202.72</v>
      </c>
      <c r="ET131">
        <v>9.53</v>
      </c>
      <c r="EU131">
        <v>0.1</v>
      </c>
      <c r="EV131">
        <v>56.55</v>
      </c>
      <c r="EW131">
        <v>5.31</v>
      </c>
      <c r="EX131">
        <v>0.01</v>
      </c>
      <c r="EY131">
        <v>0</v>
      </c>
      <c r="EZ131">
        <v>0</v>
      </c>
      <c r="FQ131">
        <v>0</v>
      </c>
      <c r="FR131">
        <f t="shared" si="116"/>
        <v>0</v>
      </c>
      <c r="FS131">
        <v>0</v>
      </c>
      <c r="FV131" t="s">
        <v>26</v>
      </c>
      <c r="FW131" t="s">
        <v>27</v>
      </c>
      <c r="FX131">
        <v>90</v>
      </c>
      <c r="FY131">
        <v>70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</row>
    <row r="132" spans="1:193" ht="12.75">
      <c r="A132">
        <v>17</v>
      </c>
      <c r="B132">
        <v>1</v>
      </c>
      <c r="C132">
        <f>ROW(SmtRes!A134)</f>
        <v>134</v>
      </c>
      <c r="D132">
        <f>ROW(EtalonRes!A124)</f>
        <v>124</v>
      </c>
      <c r="E132" t="s">
        <v>169</v>
      </c>
      <c r="F132" t="s">
        <v>170</v>
      </c>
      <c r="G132" t="s">
        <v>171</v>
      </c>
      <c r="H132" t="s">
        <v>65</v>
      </c>
      <c r="I132">
        <v>0.106</v>
      </c>
      <c r="J132">
        <v>0</v>
      </c>
      <c r="O132">
        <f t="shared" si="93"/>
        <v>173.49</v>
      </c>
      <c r="P132">
        <f t="shared" si="94"/>
        <v>104.42</v>
      </c>
      <c r="Q132">
        <f t="shared" si="95"/>
        <v>3.38</v>
      </c>
      <c r="R132">
        <f t="shared" si="96"/>
        <v>0.19</v>
      </c>
      <c r="S132">
        <f t="shared" si="97"/>
        <v>65.69</v>
      </c>
      <c r="T132">
        <f t="shared" si="98"/>
        <v>0</v>
      </c>
      <c r="U132">
        <f t="shared" si="99"/>
        <v>0.40598</v>
      </c>
      <c r="V132">
        <f t="shared" si="100"/>
        <v>0.00106</v>
      </c>
      <c r="W132">
        <f t="shared" si="101"/>
        <v>0</v>
      </c>
      <c r="X132">
        <f t="shared" si="102"/>
        <v>50.73</v>
      </c>
      <c r="Y132">
        <f t="shared" si="103"/>
        <v>36.89</v>
      </c>
      <c r="AA132">
        <v>0</v>
      </c>
      <c r="AB132">
        <f t="shared" si="104"/>
        <v>335.12</v>
      </c>
      <c r="AC132">
        <f t="shared" si="120"/>
        <v>294.06</v>
      </c>
      <c r="AD132">
        <f t="shared" si="120"/>
        <v>6.32</v>
      </c>
      <c r="AE132">
        <f t="shared" si="120"/>
        <v>0.1</v>
      </c>
      <c r="AF132">
        <f t="shared" si="120"/>
        <v>34.74</v>
      </c>
      <c r="AG132">
        <f>(AP132)</f>
        <v>0</v>
      </c>
      <c r="AH132">
        <f>(EW132)</f>
        <v>3.83</v>
      </c>
      <c r="AI132">
        <f>(EX132)</f>
        <v>0.01</v>
      </c>
      <c r="AJ132">
        <f>(AS132)</f>
        <v>0</v>
      </c>
      <c r="AK132">
        <v>335.12</v>
      </c>
      <c r="AL132">
        <v>294.06</v>
      </c>
      <c r="AM132">
        <v>6.32</v>
      </c>
      <c r="AN132">
        <v>0.1</v>
      </c>
      <c r="AO132">
        <v>34.74</v>
      </c>
      <c r="AP132">
        <v>0</v>
      </c>
      <c r="AQ132">
        <v>3.83</v>
      </c>
      <c r="AR132">
        <v>0.01</v>
      </c>
      <c r="AS132">
        <v>0</v>
      </c>
      <c r="AT132">
        <v>77</v>
      </c>
      <c r="AU132">
        <v>56</v>
      </c>
      <c r="AV132">
        <v>1</v>
      </c>
      <c r="AW132">
        <v>1</v>
      </c>
      <c r="AX132">
        <v>1</v>
      </c>
      <c r="AY132">
        <v>1</v>
      </c>
      <c r="AZ132">
        <v>6.3</v>
      </c>
      <c r="BA132">
        <v>17.84</v>
      </c>
      <c r="BB132">
        <v>5.04</v>
      </c>
      <c r="BC132">
        <v>3.35</v>
      </c>
      <c r="BH132">
        <v>0</v>
      </c>
      <c r="BI132">
        <v>1</v>
      </c>
      <c r="BJ132" t="s">
        <v>172</v>
      </c>
      <c r="BM132">
        <v>13001</v>
      </c>
      <c r="BN132">
        <v>0</v>
      </c>
      <c r="BO132" t="s">
        <v>170</v>
      </c>
      <c r="BP132">
        <v>1</v>
      </c>
      <c r="BQ132">
        <v>2</v>
      </c>
      <c r="BR132">
        <v>0</v>
      </c>
      <c r="BS132">
        <v>17.84</v>
      </c>
      <c r="BT132">
        <v>1</v>
      </c>
      <c r="BU132">
        <v>1</v>
      </c>
      <c r="BV132">
        <v>1</v>
      </c>
      <c r="BW132">
        <v>1</v>
      </c>
      <c r="BX132">
        <v>1</v>
      </c>
      <c r="BZ132">
        <v>90</v>
      </c>
      <c r="CA132">
        <v>70</v>
      </c>
      <c r="CF132">
        <v>0</v>
      </c>
      <c r="CG132">
        <v>0</v>
      </c>
      <c r="CM132">
        <v>0</v>
      </c>
      <c r="CO132">
        <v>0</v>
      </c>
      <c r="CP132">
        <f t="shared" si="105"/>
        <v>173.49</v>
      </c>
      <c r="CQ132">
        <f t="shared" si="106"/>
        <v>985.101</v>
      </c>
      <c r="CR132">
        <f t="shared" si="107"/>
        <v>31.852800000000002</v>
      </c>
      <c r="CS132">
        <f t="shared" si="108"/>
        <v>1.784</v>
      </c>
      <c r="CT132">
        <f t="shared" si="109"/>
        <v>619.7616</v>
      </c>
      <c r="CU132">
        <f t="shared" si="110"/>
        <v>0</v>
      </c>
      <c r="CV132">
        <f t="shared" si="111"/>
        <v>3.83</v>
      </c>
      <c r="CW132">
        <f t="shared" si="112"/>
        <v>0.01</v>
      </c>
      <c r="CX132">
        <f t="shared" si="113"/>
        <v>0</v>
      </c>
      <c r="CY132">
        <f t="shared" si="114"/>
        <v>50.727599999999995</v>
      </c>
      <c r="CZ132">
        <f t="shared" si="115"/>
        <v>36.8928</v>
      </c>
      <c r="DN132">
        <v>0</v>
      </c>
      <c r="DO132">
        <v>0</v>
      </c>
      <c r="DP132">
        <v>1</v>
      </c>
      <c r="DQ132">
        <v>1</v>
      </c>
      <c r="DR132">
        <v>1</v>
      </c>
      <c r="DS132">
        <v>1</v>
      </c>
      <c r="DT132">
        <v>1</v>
      </c>
      <c r="DU132">
        <v>1005</v>
      </c>
      <c r="DV132" t="s">
        <v>65</v>
      </c>
      <c r="DW132" t="s">
        <v>166</v>
      </c>
      <c r="DX132">
        <v>100</v>
      </c>
      <c r="EE132">
        <v>26519200</v>
      </c>
      <c r="EF132">
        <v>2</v>
      </c>
      <c r="EG132" t="s">
        <v>58</v>
      </c>
      <c r="EH132">
        <v>0</v>
      </c>
      <c r="EJ132">
        <v>1</v>
      </c>
      <c r="EK132">
        <v>13001</v>
      </c>
      <c r="EL132" t="s">
        <v>167</v>
      </c>
      <c r="EM132" t="s">
        <v>168</v>
      </c>
      <c r="EQ132">
        <v>0</v>
      </c>
      <c r="ER132">
        <v>335.12</v>
      </c>
      <c r="ES132">
        <v>294.06</v>
      </c>
      <c r="ET132">
        <v>6.32</v>
      </c>
      <c r="EU132">
        <v>0.1</v>
      </c>
      <c r="EV132">
        <v>34.74</v>
      </c>
      <c r="EW132">
        <v>3.83</v>
      </c>
      <c r="EX132">
        <v>0.01</v>
      </c>
      <c r="EY132">
        <v>0</v>
      </c>
      <c r="EZ132">
        <v>0</v>
      </c>
      <c r="FQ132">
        <v>0</v>
      </c>
      <c r="FR132">
        <f t="shared" si="116"/>
        <v>0</v>
      </c>
      <c r="FS132">
        <v>0</v>
      </c>
      <c r="FV132" t="s">
        <v>26</v>
      </c>
      <c r="FW132" t="s">
        <v>27</v>
      </c>
      <c r="FX132">
        <v>90</v>
      </c>
      <c r="FY132">
        <v>70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</row>
    <row r="134" spans="1:43" ht="12.75">
      <c r="A134" s="2">
        <v>51</v>
      </c>
      <c r="B134" s="2">
        <f>B119</f>
        <v>1</v>
      </c>
      <c r="C134" s="2">
        <f>A119</f>
        <v>4</v>
      </c>
      <c r="D134" s="2">
        <f>ROW(A119)</f>
        <v>119</v>
      </c>
      <c r="E134" s="2"/>
      <c r="F134" s="2" t="str">
        <f>IF(F119&lt;&gt;"",F119,"")</f>
        <v>Новый раздел</v>
      </c>
      <c r="G134" s="2" t="str">
        <f>IF(G119&lt;&gt;"",G119,"")</f>
        <v>Внутридворовая территория около д. 35а</v>
      </c>
      <c r="H134" s="2"/>
      <c r="I134" s="2"/>
      <c r="J134" s="2"/>
      <c r="K134" s="2"/>
      <c r="L134" s="2"/>
      <c r="M134" s="2"/>
      <c r="N134" s="2"/>
      <c r="O134" s="2">
        <f aca="true" t="shared" si="121" ref="O134:Y134">ROUND(AB134,2)</f>
        <v>73235.69</v>
      </c>
      <c r="P134" s="2">
        <f t="shared" si="121"/>
        <v>31562.85</v>
      </c>
      <c r="Q134" s="2">
        <f t="shared" si="121"/>
        <v>11196.2</v>
      </c>
      <c r="R134" s="2">
        <f t="shared" si="121"/>
        <v>3175.45</v>
      </c>
      <c r="S134" s="2">
        <f t="shared" si="121"/>
        <v>30476.64</v>
      </c>
      <c r="T134" s="2">
        <f t="shared" si="121"/>
        <v>0</v>
      </c>
      <c r="U134" s="2">
        <f t="shared" si="121"/>
        <v>205.79</v>
      </c>
      <c r="V134" s="2">
        <f t="shared" si="121"/>
        <v>13.26</v>
      </c>
      <c r="W134" s="2">
        <f t="shared" si="121"/>
        <v>0</v>
      </c>
      <c r="X134" s="2">
        <f t="shared" si="121"/>
        <v>34055.19</v>
      </c>
      <c r="Y134" s="2">
        <f t="shared" si="121"/>
        <v>23674.39</v>
      </c>
      <c r="Z134" s="2"/>
      <c r="AA134" s="2"/>
      <c r="AB134" s="2">
        <f>ROUND(SUMIF(AA123:AA132,"=0",O123:O132),2)</f>
        <v>73235.69</v>
      </c>
      <c r="AC134" s="2">
        <f>ROUND(SUMIF(AA123:AA132,"=0",P123:P132),2)</f>
        <v>31562.85</v>
      </c>
      <c r="AD134" s="2">
        <f>ROUND(SUMIF(AA123:AA132,"=0",Q123:Q132),2)</f>
        <v>11196.2</v>
      </c>
      <c r="AE134" s="2">
        <f>ROUND(SUMIF(AA123:AA132,"=0",R123:R132),2)</f>
        <v>3175.45</v>
      </c>
      <c r="AF134" s="2">
        <f>ROUND(SUMIF(AA123:AA132,"=0",S123:S132),2)</f>
        <v>30476.64</v>
      </c>
      <c r="AG134" s="2">
        <f>ROUND(SUMIF(AA123:AA132,"=0",T123:T132),2)</f>
        <v>0</v>
      </c>
      <c r="AH134" s="2">
        <f>ROUND(SUMIF(AA123:AA132,"=0",U123:U132),2)</f>
        <v>205.79</v>
      </c>
      <c r="AI134" s="2">
        <f>ROUND(SUMIF(AA123:AA132,"=0",V123:V132),2)</f>
        <v>13.26</v>
      </c>
      <c r="AJ134" s="2">
        <f>ROUND(SUMIF(AA123:AA132,"=0",W123:W132),2)</f>
        <v>0</v>
      </c>
      <c r="AK134" s="2">
        <f>ROUND(SUMIF(AA123:AA132,"=0",X123:X132),2)</f>
        <v>34055.19</v>
      </c>
      <c r="AL134" s="2">
        <f>ROUND(SUMIF(AA123:AA132,"=0",Y123:Y132),2)</f>
        <v>23674.39</v>
      </c>
      <c r="AM134" s="2"/>
      <c r="AN134" s="2">
        <f>ROUND(AO134,2)</f>
        <v>0</v>
      </c>
      <c r="AO134" s="2">
        <f>ROUND(SUMIF(AA123:AA132,"=0",FQ123:FQ132),2)</f>
        <v>0</v>
      </c>
      <c r="AP134" s="2">
        <f>ROUND(AQ134,2)</f>
        <v>0</v>
      </c>
      <c r="AQ134" s="2">
        <f>ROUND(SUM(FR123:FR132),2)</f>
        <v>0</v>
      </c>
    </row>
    <row r="136" spans="1:14" ht="12.75">
      <c r="A136" s="3">
        <v>50</v>
      </c>
      <c r="B136" s="3">
        <v>0</v>
      </c>
      <c r="C136" s="3">
        <v>0</v>
      </c>
      <c r="D136" s="3">
        <v>1</v>
      </c>
      <c r="E136" s="3">
        <v>201</v>
      </c>
      <c r="F136" s="3">
        <f>Source!O134</f>
        <v>73235.69</v>
      </c>
      <c r="G136" s="3" t="s">
        <v>98</v>
      </c>
      <c r="H136" s="3" t="s">
        <v>99</v>
      </c>
      <c r="I136" s="3"/>
      <c r="J136" s="3"/>
      <c r="K136" s="3">
        <v>201</v>
      </c>
      <c r="L136" s="3">
        <v>1</v>
      </c>
      <c r="M136" s="3">
        <v>3</v>
      </c>
      <c r="N136" s="3" t="s">
        <v>3</v>
      </c>
    </row>
    <row r="137" spans="1:14" ht="12.75">
      <c r="A137" s="3">
        <v>50</v>
      </c>
      <c r="B137" s="3">
        <v>0</v>
      </c>
      <c r="C137" s="3">
        <v>0</v>
      </c>
      <c r="D137" s="3">
        <v>1</v>
      </c>
      <c r="E137" s="3">
        <v>202</v>
      </c>
      <c r="F137" s="3">
        <f>Source!P134</f>
        <v>31562.85</v>
      </c>
      <c r="G137" s="3" t="s">
        <v>100</v>
      </c>
      <c r="H137" s="3" t="s">
        <v>101</v>
      </c>
      <c r="I137" s="3"/>
      <c r="J137" s="3"/>
      <c r="K137" s="3">
        <v>202</v>
      </c>
      <c r="L137" s="3">
        <v>2</v>
      </c>
      <c r="M137" s="3">
        <v>3</v>
      </c>
      <c r="N137" s="3" t="s">
        <v>3</v>
      </c>
    </row>
    <row r="138" spans="1:14" ht="12.75">
      <c r="A138" s="3">
        <v>50</v>
      </c>
      <c r="B138" s="3">
        <v>0</v>
      </c>
      <c r="C138" s="3">
        <v>0</v>
      </c>
      <c r="D138" s="3">
        <v>1</v>
      </c>
      <c r="E138" s="3">
        <v>222</v>
      </c>
      <c r="F138" s="3">
        <f>Source!AN134</f>
        <v>0</v>
      </c>
      <c r="G138" s="3" t="s">
        <v>102</v>
      </c>
      <c r="H138" s="3" t="s">
        <v>103</v>
      </c>
      <c r="I138" s="3"/>
      <c r="J138" s="3"/>
      <c r="K138" s="3">
        <v>222</v>
      </c>
      <c r="L138" s="3">
        <v>3</v>
      </c>
      <c r="M138" s="3">
        <v>3</v>
      </c>
      <c r="N138" s="3" t="s">
        <v>3</v>
      </c>
    </row>
    <row r="139" spans="1:14" ht="12.75">
      <c r="A139" s="3">
        <v>50</v>
      </c>
      <c r="B139" s="3">
        <v>0</v>
      </c>
      <c r="C139" s="3">
        <v>0</v>
      </c>
      <c r="D139" s="3">
        <v>1</v>
      </c>
      <c r="E139" s="3">
        <v>216</v>
      </c>
      <c r="F139" s="3">
        <f>Source!AP134</f>
        <v>0</v>
      </c>
      <c r="G139" s="3" t="s">
        <v>104</v>
      </c>
      <c r="H139" s="3" t="s">
        <v>105</v>
      </c>
      <c r="I139" s="3"/>
      <c r="J139" s="3"/>
      <c r="K139" s="3">
        <v>216</v>
      </c>
      <c r="L139" s="3">
        <v>4</v>
      </c>
      <c r="M139" s="3">
        <v>3</v>
      </c>
      <c r="N139" s="3" t="s">
        <v>3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203</v>
      </c>
      <c r="F140" s="3">
        <f>Source!Q134</f>
        <v>11196.2</v>
      </c>
      <c r="G140" s="3" t="s">
        <v>106</v>
      </c>
      <c r="H140" s="3" t="s">
        <v>107</v>
      </c>
      <c r="I140" s="3"/>
      <c r="J140" s="3"/>
      <c r="K140" s="3">
        <v>203</v>
      </c>
      <c r="L140" s="3">
        <v>5</v>
      </c>
      <c r="M140" s="3">
        <v>3</v>
      </c>
      <c r="N140" s="3" t="s">
        <v>3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204</v>
      </c>
      <c r="F141" s="3">
        <f>Source!R134</f>
        <v>3175.45</v>
      </c>
      <c r="G141" s="3" t="s">
        <v>108</v>
      </c>
      <c r="H141" s="3" t="s">
        <v>109</v>
      </c>
      <c r="I141" s="3"/>
      <c r="J141" s="3"/>
      <c r="K141" s="3">
        <v>204</v>
      </c>
      <c r="L141" s="3">
        <v>6</v>
      </c>
      <c r="M141" s="3">
        <v>3</v>
      </c>
      <c r="N141" s="3" t="s">
        <v>3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205</v>
      </c>
      <c r="F142" s="3">
        <f>Source!S134</f>
        <v>30476.64</v>
      </c>
      <c r="G142" s="3" t="s">
        <v>110</v>
      </c>
      <c r="H142" s="3" t="s">
        <v>111</v>
      </c>
      <c r="I142" s="3"/>
      <c r="J142" s="3"/>
      <c r="K142" s="3">
        <v>205</v>
      </c>
      <c r="L142" s="3">
        <v>7</v>
      </c>
      <c r="M142" s="3">
        <v>3</v>
      </c>
      <c r="N142" s="3" t="s">
        <v>3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206</v>
      </c>
      <c r="F143" s="3">
        <f>Source!T134</f>
        <v>0</v>
      </c>
      <c r="G143" s="3" t="s">
        <v>112</v>
      </c>
      <c r="H143" s="3" t="s">
        <v>113</v>
      </c>
      <c r="I143" s="3"/>
      <c r="J143" s="3"/>
      <c r="K143" s="3">
        <v>206</v>
      </c>
      <c r="L143" s="3">
        <v>8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207</v>
      </c>
      <c r="F144" s="3">
        <f>Source!U134</f>
        <v>205.79</v>
      </c>
      <c r="G144" s="3" t="s">
        <v>114</v>
      </c>
      <c r="H144" s="3" t="s">
        <v>115</v>
      </c>
      <c r="I144" s="3"/>
      <c r="J144" s="3"/>
      <c r="K144" s="3">
        <v>207</v>
      </c>
      <c r="L144" s="3">
        <v>9</v>
      </c>
      <c r="M144" s="3">
        <v>3</v>
      </c>
      <c r="N144" s="3" t="s">
        <v>3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208</v>
      </c>
      <c r="F145" s="3">
        <f>Source!V134</f>
        <v>13.26</v>
      </c>
      <c r="G145" s="3" t="s">
        <v>116</v>
      </c>
      <c r="H145" s="3" t="s">
        <v>117</v>
      </c>
      <c r="I145" s="3"/>
      <c r="J145" s="3"/>
      <c r="K145" s="3">
        <v>208</v>
      </c>
      <c r="L145" s="3">
        <v>10</v>
      </c>
      <c r="M145" s="3">
        <v>3</v>
      </c>
      <c r="N145" s="3" t="s">
        <v>3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209</v>
      </c>
      <c r="F146" s="3">
        <f>Source!W134</f>
        <v>0</v>
      </c>
      <c r="G146" s="3" t="s">
        <v>118</v>
      </c>
      <c r="H146" s="3" t="s">
        <v>119</v>
      </c>
      <c r="I146" s="3"/>
      <c r="J146" s="3"/>
      <c r="K146" s="3">
        <v>209</v>
      </c>
      <c r="L146" s="3">
        <v>11</v>
      </c>
      <c r="M146" s="3">
        <v>3</v>
      </c>
      <c r="N146" s="3" t="s">
        <v>3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210</v>
      </c>
      <c r="F147" s="3">
        <f>Source!X134</f>
        <v>34055.19</v>
      </c>
      <c r="G147" s="3" t="s">
        <v>120</v>
      </c>
      <c r="H147" s="3" t="s">
        <v>121</v>
      </c>
      <c r="I147" s="3"/>
      <c r="J147" s="3"/>
      <c r="K147" s="3">
        <v>210</v>
      </c>
      <c r="L147" s="3">
        <v>12</v>
      </c>
      <c r="M147" s="3">
        <v>3</v>
      </c>
      <c r="N147" s="3" t="s">
        <v>3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211</v>
      </c>
      <c r="F148" s="3">
        <f>Source!Y134</f>
        <v>23674.39</v>
      </c>
      <c r="G148" s="3" t="s">
        <v>122</v>
      </c>
      <c r="H148" s="3" t="s">
        <v>123</v>
      </c>
      <c r="I148" s="3"/>
      <c r="J148" s="3"/>
      <c r="K148" s="3">
        <v>211</v>
      </c>
      <c r="L148" s="3">
        <v>13</v>
      </c>
      <c r="M148" s="3">
        <v>3</v>
      </c>
      <c r="N148" s="3" t="s">
        <v>3</v>
      </c>
    </row>
    <row r="150" spans="1:43" ht="12.75">
      <c r="A150" s="2">
        <v>51</v>
      </c>
      <c r="B150" s="2">
        <f>B20</f>
        <v>1</v>
      </c>
      <c r="C150" s="2">
        <f>A20</f>
        <v>3</v>
      </c>
      <c r="D150" s="2">
        <f>ROW(A20)</f>
        <v>20</v>
      </c>
      <c r="E150" s="2"/>
      <c r="F150" s="2" t="str">
        <f>IF(F20&lt;&gt;"",F20,"")</f>
        <v>Новая локальная смета</v>
      </c>
      <c r="G150" s="2" t="str">
        <f>IF(G20&lt;&gt;"",G20,"")</f>
        <v>Новая локальная смета</v>
      </c>
      <c r="H150" s="2"/>
      <c r="I150" s="2"/>
      <c r="J150" s="2"/>
      <c r="K150" s="2"/>
      <c r="L150" s="2"/>
      <c r="M150" s="2"/>
      <c r="N150" s="2"/>
      <c r="O150" s="2">
        <f aca="true" t="shared" si="122" ref="O150:Y150">ROUND(O44+O75+O103+O134+AB150,2)</f>
        <v>300094.95</v>
      </c>
      <c r="P150" s="2">
        <f t="shared" si="122"/>
        <v>53561.22</v>
      </c>
      <c r="Q150" s="2">
        <f t="shared" si="122"/>
        <v>143219.5</v>
      </c>
      <c r="R150" s="2">
        <f t="shared" si="122"/>
        <v>20529.09</v>
      </c>
      <c r="S150" s="2">
        <f t="shared" si="122"/>
        <v>103314.23</v>
      </c>
      <c r="T150" s="2">
        <f t="shared" si="122"/>
        <v>0</v>
      </c>
      <c r="U150" s="2">
        <f t="shared" si="122"/>
        <v>700.1</v>
      </c>
      <c r="V150" s="2">
        <f t="shared" si="122"/>
        <v>77.43</v>
      </c>
      <c r="W150" s="2">
        <f t="shared" si="122"/>
        <v>0</v>
      </c>
      <c r="X150" s="2">
        <f t="shared" si="122"/>
        <v>116961.28</v>
      </c>
      <c r="Y150" s="2">
        <f t="shared" si="122"/>
        <v>73143.14</v>
      </c>
      <c r="Z150" s="2"/>
      <c r="AA150" s="2"/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/>
      <c r="AN150" s="2">
        <f>ROUND(AN44+AN75+AN103+AN134+AO150,2)</f>
        <v>0</v>
      </c>
      <c r="AO150" s="2">
        <v>0</v>
      </c>
      <c r="AP150" s="2">
        <f>ROUND(AP44+AP75+AP103+AP134+AQ150,2)</f>
        <v>0</v>
      </c>
      <c r="AQ150" s="2">
        <v>0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201</v>
      </c>
      <c r="F152" s="3">
        <f>Source!O150</f>
        <v>300094.95</v>
      </c>
      <c r="G152" s="3" t="s">
        <v>98</v>
      </c>
      <c r="H152" s="3" t="s">
        <v>99</v>
      </c>
      <c r="I152" s="3"/>
      <c r="J152" s="3"/>
      <c r="K152" s="3">
        <v>201</v>
      </c>
      <c r="L152" s="3">
        <v>1</v>
      </c>
      <c r="M152" s="3">
        <v>3</v>
      </c>
      <c r="N152" s="3" t="s">
        <v>3</v>
      </c>
    </row>
    <row r="153" spans="1:14" ht="12.75">
      <c r="A153" s="3">
        <v>50</v>
      </c>
      <c r="B153" s="3">
        <v>0</v>
      </c>
      <c r="C153" s="3">
        <v>0</v>
      </c>
      <c r="D153" s="3">
        <v>1</v>
      </c>
      <c r="E153" s="3">
        <v>202</v>
      </c>
      <c r="F153" s="3">
        <f>Source!P150</f>
        <v>53561.22</v>
      </c>
      <c r="G153" s="3" t="s">
        <v>100</v>
      </c>
      <c r="H153" s="3" t="s">
        <v>101</v>
      </c>
      <c r="I153" s="3"/>
      <c r="J153" s="3"/>
      <c r="K153" s="3">
        <v>202</v>
      </c>
      <c r="L153" s="3">
        <v>2</v>
      </c>
      <c r="M153" s="3">
        <v>3</v>
      </c>
      <c r="N153" s="3" t="s">
        <v>3</v>
      </c>
    </row>
    <row r="154" spans="1:14" ht="12.75">
      <c r="A154" s="3">
        <v>50</v>
      </c>
      <c r="B154" s="3">
        <v>0</v>
      </c>
      <c r="C154" s="3">
        <v>0</v>
      </c>
      <c r="D154" s="3">
        <v>1</v>
      </c>
      <c r="E154" s="3">
        <v>222</v>
      </c>
      <c r="F154" s="3">
        <f>Source!AN150</f>
        <v>0</v>
      </c>
      <c r="G154" s="3" t="s">
        <v>102</v>
      </c>
      <c r="H154" s="3" t="s">
        <v>103</v>
      </c>
      <c r="I154" s="3"/>
      <c r="J154" s="3"/>
      <c r="K154" s="3">
        <v>222</v>
      </c>
      <c r="L154" s="3">
        <v>3</v>
      </c>
      <c r="M154" s="3">
        <v>3</v>
      </c>
      <c r="N154" s="3" t="s">
        <v>3</v>
      </c>
    </row>
    <row r="155" spans="1:14" ht="12.75">
      <c r="A155" s="3">
        <v>50</v>
      </c>
      <c r="B155" s="3">
        <v>0</v>
      </c>
      <c r="C155" s="3">
        <v>0</v>
      </c>
      <c r="D155" s="3">
        <v>1</v>
      </c>
      <c r="E155" s="3">
        <v>216</v>
      </c>
      <c r="F155" s="3">
        <f>Source!AP150</f>
        <v>0</v>
      </c>
      <c r="G155" s="3" t="s">
        <v>104</v>
      </c>
      <c r="H155" s="3" t="s">
        <v>105</v>
      </c>
      <c r="I155" s="3"/>
      <c r="J155" s="3"/>
      <c r="K155" s="3">
        <v>216</v>
      </c>
      <c r="L155" s="3">
        <v>4</v>
      </c>
      <c r="M155" s="3">
        <v>3</v>
      </c>
      <c r="N155" s="3" t="s">
        <v>3</v>
      </c>
    </row>
    <row r="156" spans="1:14" ht="12.75">
      <c r="A156" s="3">
        <v>50</v>
      </c>
      <c r="B156" s="3">
        <v>0</v>
      </c>
      <c r="C156" s="3">
        <v>0</v>
      </c>
      <c r="D156" s="3">
        <v>1</v>
      </c>
      <c r="E156" s="3">
        <v>203</v>
      </c>
      <c r="F156" s="3">
        <f>Source!Q150</f>
        <v>143219.5</v>
      </c>
      <c r="G156" s="3" t="s">
        <v>106</v>
      </c>
      <c r="H156" s="3" t="s">
        <v>107</v>
      </c>
      <c r="I156" s="3"/>
      <c r="J156" s="3"/>
      <c r="K156" s="3">
        <v>203</v>
      </c>
      <c r="L156" s="3">
        <v>5</v>
      </c>
      <c r="M156" s="3">
        <v>3</v>
      </c>
      <c r="N156" s="3" t="s">
        <v>3</v>
      </c>
    </row>
    <row r="157" spans="1:14" ht="12.75">
      <c r="A157" s="3">
        <v>50</v>
      </c>
      <c r="B157" s="3">
        <v>0</v>
      </c>
      <c r="C157" s="3">
        <v>0</v>
      </c>
      <c r="D157" s="3">
        <v>1</v>
      </c>
      <c r="E157" s="3">
        <v>204</v>
      </c>
      <c r="F157" s="3">
        <f>Source!R150</f>
        <v>20529.09</v>
      </c>
      <c r="G157" s="3" t="s">
        <v>108</v>
      </c>
      <c r="H157" s="3" t="s">
        <v>109</v>
      </c>
      <c r="I157" s="3"/>
      <c r="J157" s="3"/>
      <c r="K157" s="3">
        <v>204</v>
      </c>
      <c r="L157" s="3">
        <v>6</v>
      </c>
      <c r="M157" s="3">
        <v>3</v>
      </c>
      <c r="N157" s="3" t="s">
        <v>3</v>
      </c>
    </row>
    <row r="158" spans="1:14" ht="12.75">
      <c r="A158" s="3">
        <v>50</v>
      </c>
      <c r="B158" s="3">
        <v>0</v>
      </c>
      <c r="C158" s="3">
        <v>0</v>
      </c>
      <c r="D158" s="3">
        <v>1</v>
      </c>
      <c r="E158" s="3">
        <v>205</v>
      </c>
      <c r="F158" s="3">
        <f>Source!S150</f>
        <v>103314.23</v>
      </c>
      <c r="G158" s="3" t="s">
        <v>110</v>
      </c>
      <c r="H158" s="3" t="s">
        <v>111</v>
      </c>
      <c r="I158" s="3"/>
      <c r="J158" s="3"/>
      <c r="K158" s="3">
        <v>205</v>
      </c>
      <c r="L158" s="3">
        <v>7</v>
      </c>
      <c r="M158" s="3">
        <v>3</v>
      </c>
      <c r="N158" s="3" t="s">
        <v>3</v>
      </c>
    </row>
    <row r="159" spans="1:14" ht="12.75">
      <c r="A159" s="3">
        <v>50</v>
      </c>
      <c r="B159" s="3">
        <v>0</v>
      </c>
      <c r="C159" s="3">
        <v>0</v>
      </c>
      <c r="D159" s="3">
        <v>1</v>
      </c>
      <c r="E159" s="3">
        <v>206</v>
      </c>
      <c r="F159" s="3">
        <f>Source!T150</f>
        <v>0</v>
      </c>
      <c r="G159" s="3" t="s">
        <v>112</v>
      </c>
      <c r="H159" s="3" t="s">
        <v>113</v>
      </c>
      <c r="I159" s="3"/>
      <c r="J159" s="3"/>
      <c r="K159" s="3">
        <v>206</v>
      </c>
      <c r="L159" s="3">
        <v>8</v>
      </c>
      <c r="M159" s="3">
        <v>3</v>
      </c>
      <c r="N159" s="3" t="s">
        <v>3</v>
      </c>
    </row>
    <row r="160" spans="1:14" ht="12.75">
      <c r="A160" s="3">
        <v>50</v>
      </c>
      <c r="B160" s="3">
        <v>0</v>
      </c>
      <c r="C160" s="3">
        <v>0</v>
      </c>
      <c r="D160" s="3">
        <v>1</v>
      </c>
      <c r="E160" s="3">
        <v>207</v>
      </c>
      <c r="F160" s="3">
        <f>Source!U150</f>
        <v>700.1</v>
      </c>
      <c r="G160" s="3" t="s">
        <v>114</v>
      </c>
      <c r="H160" s="3" t="s">
        <v>115</v>
      </c>
      <c r="I160" s="3"/>
      <c r="J160" s="3"/>
      <c r="K160" s="3">
        <v>207</v>
      </c>
      <c r="L160" s="3">
        <v>9</v>
      </c>
      <c r="M160" s="3">
        <v>3</v>
      </c>
      <c r="N160" s="3" t="s">
        <v>3</v>
      </c>
    </row>
    <row r="161" spans="1:14" ht="12.75">
      <c r="A161" s="3">
        <v>50</v>
      </c>
      <c r="B161" s="3">
        <v>0</v>
      </c>
      <c r="C161" s="3">
        <v>0</v>
      </c>
      <c r="D161" s="3">
        <v>1</v>
      </c>
      <c r="E161" s="3">
        <v>208</v>
      </c>
      <c r="F161" s="3">
        <f>Source!V150</f>
        <v>77.43</v>
      </c>
      <c r="G161" s="3" t="s">
        <v>116</v>
      </c>
      <c r="H161" s="3" t="s">
        <v>117</v>
      </c>
      <c r="I161" s="3"/>
      <c r="J161" s="3"/>
      <c r="K161" s="3">
        <v>208</v>
      </c>
      <c r="L161" s="3">
        <v>10</v>
      </c>
      <c r="M161" s="3">
        <v>3</v>
      </c>
      <c r="N161" s="3" t="s">
        <v>3</v>
      </c>
    </row>
    <row r="162" spans="1:14" ht="12.75">
      <c r="A162" s="3">
        <v>50</v>
      </c>
      <c r="B162" s="3">
        <v>0</v>
      </c>
      <c r="C162" s="3">
        <v>0</v>
      </c>
      <c r="D162" s="3">
        <v>1</v>
      </c>
      <c r="E162" s="3">
        <v>209</v>
      </c>
      <c r="F162" s="3">
        <f>Source!W150</f>
        <v>0</v>
      </c>
      <c r="G162" s="3" t="s">
        <v>118</v>
      </c>
      <c r="H162" s="3" t="s">
        <v>119</v>
      </c>
      <c r="I162" s="3"/>
      <c r="J162" s="3"/>
      <c r="K162" s="3">
        <v>209</v>
      </c>
      <c r="L162" s="3">
        <v>11</v>
      </c>
      <c r="M162" s="3">
        <v>3</v>
      </c>
      <c r="N162" s="3" t="s">
        <v>3</v>
      </c>
    </row>
    <row r="163" spans="1:14" ht="12.75">
      <c r="A163" s="3">
        <v>50</v>
      </c>
      <c r="B163" s="3">
        <v>0</v>
      </c>
      <c r="C163" s="3">
        <v>0</v>
      </c>
      <c r="D163" s="3">
        <v>1</v>
      </c>
      <c r="E163" s="3">
        <v>210</v>
      </c>
      <c r="F163" s="3">
        <f>Source!X150</f>
        <v>116961.28</v>
      </c>
      <c r="G163" s="3" t="s">
        <v>120</v>
      </c>
      <c r="H163" s="3" t="s">
        <v>121</v>
      </c>
      <c r="I163" s="3"/>
      <c r="J163" s="3"/>
      <c r="K163" s="3">
        <v>210</v>
      </c>
      <c r="L163" s="3">
        <v>12</v>
      </c>
      <c r="M163" s="3">
        <v>3</v>
      </c>
      <c r="N163" s="3" t="s">
        <v>3</v>
      </c>
    </row>
    <row r="164" spans="1:14" ht="12.75">
      <c r="A164" s="3">
        <v>50</v>
      </c>
      <c r="B164" s="3">
        <v>0</v>
      </c>
      <c r="C164" s="3">
        <v>0</v>
      </c>
      <c r="D164" s="3">
        <v>1</v>
      </c>
      <c r="E164" s="3">
        <v>211</v>
      </c>
      <c r="F164" s="3">
        <f>Source!Y150</f>
        <v>73143.14</v>
      </c>
      <c r="G164" s="3" t="s">
        <v>122</v>
      </c>
      <c r="H164" s="3" t="s">
        <v>123</v>
      </c>
      <c r="I164" s="3"/>
      <c r="J164" s="3"/>
      <c r="K164" s="3">
        <v>211</v>
      </c>
      <c r="L164" s="3">
        <v>13</v>
      </c>
      <c r="M164" s="3">
        <v>3</v>
      </c>
      <c r="N164" s="3" t="s">
        <v>3</v>
      </c>
    </row>
    <row r="166" spans="1:43" ht="12.75">
      <c r="A166" s="2">
        <v>51</v>
      </c>
      <c r="B166" s="2">
        <f>B12</f>
        <v>1</v>
      </c>
      <c r="C166" s="2">
        <f>A12</f>
        <v>1</v>
      </c>
      <c r="D166" s="2">
        <f>ROW(A12)</f>
        <v>12</v>
      </c>
      <c r="E166" s="2"/>
      <c r="F166" s="2" t="str">
        <f>IF(F12&lt;&gt;"",F12,"")</f>
        <v>Новый объект</v>
      </c>
      <c r="G166" s="2" t="str">
        <f>IF(G12&lt;&gt;"",G12,"")</f>
        <v>Благоустройство внутридворовой территории</v>
      </c>
      <c r="H166" s="2"/>
      <c r="I166" s="2"/>
      <c r="J166" s="2"/>
      <c r="K166" s="2"/>
      <c r="L166" s="2"/>
      <c r="M166" s="2"/>
      <c r="N166" s="2"/>
      <c r="O166" s="2">
        <f aca="true" t="shared" si="123" ref="O166:Y166">ROUND(O150,2)</f>
        <v>300094.95</v>
      </c>
      <c r="P166" s="2">
        <f t="shared" si="123"/>
        <v>53561.22</v>
      </c>
      <c r="Q166" s="2">
        <f t="shared" si="123"/>
        <v>143219.5</v>
      </c>
      <c r="R166" s="2">
        <f t="shared" si="123"/>
        <v>20529.09</v>
      </c>
      <c r="S166" s="2">
        <f t="shared" si="123"/>
        <v>103314.23</v>
      </c>
      <c r="T166" s="2">
        <f t="shared" si="123"/>
        <v>0</v>
      </c>
      <c r="U166" s="2">
        <f t="shared" si="123"/>
        <v>700.1</v>
      </c>
      <c r="V166" s="2">
        <f t="shared" si="123"/>
        <v>77.43</v>
      </c>
      <c r="W166" s="2">
        <f t="shared" si="123"/>
        <v>0</v>
      </c>
      <c r="X166" s="2">
        <f t="shared" si="123"/>
        <v>116961.28</v>
      </c>
      <c r="Y166" s="2">
        <f t="shared" si="123"/>
        <v>73143.14</v>
      </c>
      <c r="Z166" s="2"/>
      <c r="AA166" s="2"/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/>
      <c r="AN166" s="2">
        <f>ROUND(AN150,2)</f>
        <v>0</v>
      </c>
      <c r="AO166" s="2">
        <v>0</v>
      </c>
      <c r="AP166" s="2">
        <f>ROUND(AP150,2)</f>
        <v>0</v>
      </c>
      <c r="AQ166" s="2">
        <v>0</v>
      </c>
    </row>
    <row r="168" spans="1:14" ht="12.75">
      <c r="A168" s="3">
        <v>50</v>
      </c>
      <c r="B168" s="3">
        <v>0</v>
      </c>
      <c r="C168" s="3">
        <v>0</v>
      </c>
      <c r="D168" s="3">
        <v>1</v>
      </c>
      <c r="E168" s="3">
        <v>201</v>
      </c>
      <c r="F168" s="3">
        <f>Source!O166</f>
        <v>300094.95</v>
      </c>
      <c r="G168" s="3" t="s">
        <v>98</v>
      </c>
      <c r="H168" s="3" t="s">
        <v>99</v>
      </c>
      <c r="I168" s="3"/>
      <c r="J168" s="3"/>
      <c r="K168" s="3">
        <v>201</v>
      </c>
      <c r="L168" s="3">
        <v>1</v>
      </c>
      <c r="M168" s="3">
        <v>3</v>
      </c>
      <c r="N168" s="3" t="s">
        <v>3</v>
      </c>
    </row>
    <row r="169" spans="1:14" ht="12.75">
      <c r="A169" s="3">
        <v>50</v>
      </c>
      <c r="B169" s="3">
        <v>0</v>
      </c>
      <c r="C169" s="3">
        <v>0</v>
      </c>
      <c r="D169" s="3">
        <v>1</v>
      </c>
      <c r="E169" s="3">
        <v>202</v>
      </c>
      <c r="F169" s="3">
        <f>Source!P166</f>
        <v>53561.22</v>
      </c>
      <c r="G169" s="3" t="s">
        <v>100</v>
      </c>
      <c r="H169" s="3" t="s">
        <v>101</v>
      </c>
      <c r="I169" s="3"/>
      <c r="J169" s="3"/>
      <c r="K169" s="3">
        <v>202</v>
      </c>
      <c r="L169" s="3">
        <v>2</v>
      </c>
      <c r="M169" s="3">
        <v>3</v>
      </c>
      <c r="N169" s="3" t="s">
        <v>3</v>
      </c>
    </row>
    <row r="170" spans="1:14" ht="12.75">
      <c r="A170" s="3">
        <v>50</v>
      </c>
      <c r="B170" s="3">
        <v>0</v>
      </c>
      <c r="C170" s="3">
        <v>0</v>
      </c>
      <c r="D170" s="3">
        <v>1</v>
      </c>
      <c r="E170" s="3">
        <v>222</v>
      </c>
      <c r="F170" s="3">
        <f>Source!AN166</f>
        <v>0</v>
      </c>
      <c r="G170" s="3" t="s">
        <v>102</v>
      </c>
      <c r="H170" s="3" t="s">
        <v>103</v>
      </c>
      <c r="I170" s="3"/>
      <c r="J170" s="3"/>
      <c r="K170" s="3">
        <v>222</v>
      </c>
      <c r="L170" s="3">
        <v>3</v>
      </c>
      <c r="M170" s="3">
        <v>3</v>
      </c>
      <c r="N170" s="3" t="s">
        <v>3</v>
      </c>
    </row>
    <row r="171" spans="1:14" ht="12.75">
      <c r="A171" s="3">
        <v>50</v>
      </c>
      <c r="B171" s="3">
        <v>0</v>
      </c>
      <c r="C171" s="3">
        <v>0</v>
      </c>
      <c r="D171" s="3">
        <v>1</v>
      </c>
      <c r="E171" s="3">
        <v>216</v>
      </c>
      <c r="F171" s="3">
        <f>Source!AP166</f>
        <v>0</v>
      </c>
      <c r="G171" s="3" t="s">
        <v>104</v>
      </c>
      <c r="H171" s="3" t="s">
        <v>105</v>
      </c>
      <c r="I171" s="3"/>
      <c r="J171" s="3"/>
      <c r="K171" s="3">
        <v>216</v>
      </c>
      <c r="L171" s="3">
        <v>4</v>
      </c>
      <c r="M171" s="3">
        <v>3</v>
      </c>
      <c r="N171" s="3" t="s">
        <v>3</v>
      </c>
    </row>
    <row r="172" spans="1:14" ht="12.75">
      <c r="A172" s="3">
        <v>50</v>
      </c>
      <c r="B172" s="3">
        <v>0</v>
      </c>
      <c r="C172" s="3">
        <v>0</v>
      </c>
      <c r="D172" s="3">
        <v>1</v>
      </c>
      <c r="E172" s="3">
        <v>203</v>
      </c>
      <c r="F172" s="3">
        <f>Source!Q166</f>
        <v>143219.5</v>
      </c>
      <c r="G172" s="3" t="s">
        <v>106</v>
      </c>
      <c r="H172" s="3" t="s">
        <v>107</v>
      </c>
      <c r="I172" s="3"/>
      <c r="J172" s="3"/>
      <c r="K172" s="3">
        <v>203</v>
      </c>
      <c r="L172" s="3">
        <v>5</v>
      </c>
      <c r="M172" s="3">
        <v>3</v>
      </c>
      <c r="N172" s="3" t="s">
        <v>3</v>
      </c>
    </row>
    <row r="173" spans="1:14" ht="12.75">
      <c r="A173" s="3">
        <v>50</v>
      </c>
      <c r="B173" s="3">
        <v>0</v>
      </c>
      <c r="C173" s="3">
        <v>0</v>
      </c>
      <c r="D173" s="3">
        <v>1</v>
      </c>
      <c r="E173" s="3">
        <v>204</v>
      </c>
      <c r="F173" s="3">
        <f>Source!R166</f>
        <v>20529.09</v>
      </c>
      <c r="G173" s="3" t="s">
        <v>108</v>
      </c>
      <c r="H173" s="3" t="s">
        <v>109</v>
      </c>
      <c r="I173" s="3"/>
      <c r="J173" s="3"/>
      <c r="K173" s="3">
        <v>204</v>
      </c>
      <c r="L173" s="3">
        <v>6</v>
      </c>
      <c r="M173" s="3">
        <v>3</v>
      </c>
      <c r="N173" s="3" t="s">
        <v>3</v>
      </c>
    </row>
    <row r="174" spans="1:14" ht="12.75">
      <c r="A174" s="3">
        <v>50</v>
      </c>
      <c r="B174" s="3">
        <v>0</v>
      </c>
      <c r="C174" s="3">
        <v>0</v>
      </c>
      <c r="D174" s="3">
        <v>1</v>
      </c>
      <c r="E174" s="3">
        <v>205</v>
      </c>
      <c r="F174" s="3">
        <f>Source!S166</f>
        <v>103314.23</v>
      </c>
      <c r="G174" s="3" t="s">
        <v>110</v>
      </c>
      <c r="H174" s="3" t="s">
        <v>111</v>
      </c>
      <c r="I174" s="3"/>
      <c r="J174" s="3"/>
      <c r="K174" s="3">
        <v>205</v>
      </c>
      <c r="L174" s="3">
        <v>7</v>
      </c>
      <c r="M174" s="3">
        <v>3</v>
      </c>
      <c r="N174" s="3" t="s">
        <v>3</v>
      </c>
    </row>
    <row r="175" spans="1:14" ht="12.75">
      <c r="A175" s="3">
        <v>50</v>
      </c>
      <c r="B175" s="3">
        <v>0</v>
      </c>
      <c r="C175" s="3">
        <v>0</v>
      </c>
      <c r="D175" s="3">
        <v>1</v>
      </c>
      <c r="E175" s="3">
        <v>206</v>
      </c>
      <c r="F175" s="3">
        <f>Source!T166</f>
        <v>0</v>
      </c>
      <c r="G175" s="3" t="s">
        <v>112</v>
      </c>
      <c r="H175" s="3" t="s">
        <v>113</v>
      </c>
      <c r="I175" s="3"/>
      <c r="J175" s="3"/>
      <c r="K175" s="3">
        <v>206</v>
      </c>
      <c r="L175" s="3">
        <v>8</v>
      </c>
      <c r="M175" s="3">
        <v>3</v>
      </c>
      <c r="N175" s="3" t="s">
        <v>3</v>
      </c>
    </row>
    <row r="176" spans="1:14" ht="12.75">
      <c r="A176" s="3">
        <v>50</v>
      </c>
      <c r="B176" s="3">
        <v>0</v>
      </c>
      <c r="C176" s="3">
        <v>0</v>
      </c>
      <c r="D176" s="3">
        <v>1</v>
      </c>
      <c r="E176" s="3">
        <v>207</v>
      </c>
      <c r="F176" s="3">
        <f>Source!U166</f>
        <v>700.1</v>
      </c>
      <c r="G176" s="3" t="s">
        <v>114</v>
      </c>
      <c r="H176" s="3" t="s">
        <v>115</v>
      </c>
      <c r="I176" s="3"/>
      <c r="J176" s="3"/>
      <c r="K176" s="3">
        <v>207</v>
      </c>
      <c r="L176" s="3">
        <v>9</v>
      </c>
      <c r="M176" s="3">
        <v>3</v>
      </c>
      <c r="N176" s="3" t="s">
        <v>3</v>
      </c>
    </row>
    <row r="177" spans="1:14" ht="12.75">
      <c r="A177" s="3">
        <v>50</v>
      </c>
      <c r="B177" s="3">
        <v>0</v>
      </c>
      <c r="C177" s="3">
        <v>0</v>
      </c>
      <c r="D177" s="3">
        <v>1</v>
      </c>
      <c r="E177" s="3">
        <v>208</v>
      </c>
      <c r="F177" s="3">
        <f>Source!V166</f>
        <v>77.43</v>
      </c>
      <c r="G177" s="3" t="s">
        <v>116</v>
      </c>
      <c r="H177" s="3" t="s">
        <v>117</v>
      </c>
      <c r="I177" s="3"/>
      <c r="J177" s="3"/>
      <c r="K177" s="3">
        <v>208</v>
      </c>
      <c r="L177" s="3">
        <v>10</v>
      </c>
      <c r="M177" s="3">
        <v>3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1</v>
      </c>
      <c r="E178" s="3">
        <v>209</v>
      </c>
      <c r="F178" s="3">
        <f>Source!W166</f>
        <v>0</v>
      </c>
      <c r="G178" s="3" t="s">
        <v>118</v>
      </c>
      <c r="H178" s="3" t="s">
        <v>119</v>
      </c>
      <c r="I178" s="3"/>
      <c r="J178" s="3"/>
      <c r="K178" s="3">
        <v>209</v>
      </c>
      <c r="L178" s="3">
        <v>11</v>
      </c>
      <c r="M178" s="3">
        <v>3</v>
      </c>
      <c r="N178" s="3" t="s">
        <v>3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210</v>
      </c>
      <c r="F179" s="3">
        <f>Source!X166</f>
        <v>116961.28</v>
      </c>
      <c r="G179" s="3" t="s">
        <v>120</v>
      </c>
      <c r="H179" s="3" t="s">
        <v>121</v>
      </c>
      <c r="I179" s="3"/>
      <c r="J179" s="3"/>
      <c r="K179" s="3">
        <v>210</v>
      </c>
      <c r="L179" s="3">
        <v>12</v>
      </c>
      <c r="M179" s="3">
        <v>3</v>
      </c>
      <c r="N179" s="3" t="s">
        <v>3</v>
      </c>
    </row>
    <row r="180" spans="1:14" ht="12.75">
      <c r="A180" s="3">
        <v>50</v>
      </c>
      <c r="B180" s="3">
        <v>0</v>
      </c>
      <c r="C180" s="3">
        <v>0</v>
      </c>
      <c r="D180" s="3">
        <v>1</v>
      </c>
      <c r="E180" s="3">
        <v>211</v>
      </c>
      <c r="F180" s="3">
        <f>Source!Y166</f>
        <v>73143.14</v>
      </c>
      <c r="G180" s="3" t="s">
        <v>122</v>
      </c>
      <c r="H180" s="3" t="s">
        <v>123</v>
      </c>
      <c r="I180" s="3"/>
      <c r="J180" s="3"/>
      <c r="K180" s="3">
        <v>211</v>
      </c>
      <c r="L180" s="3">
        <v>13</v>
      </c>
      <c r="M180" s="3">
        <v>3</v>
      </c>
      <c r="N180" s="3" t="s">
        <v>3</v>
      </c>
    </row>
    <row r="181" spans="1:14" ht="12.75">
      <c r="A181" s="3">
        <v>50</v>
      </c>
      <c r="B181" s="3">
        <v>1</v>
      </c>
      <c r="C181" s="3">
        <v>0</v>
      </c>
      <c r="D181" s="3">
        <v>2</v>
      </c>
      <c r="E181" s="3">
        <v>0</v>
      </c>
      <c r="F181" s="3">
        <f>ROUND(Source!F168+Source!F179+Source!F180,2)</f>
        <v>490199.37</v>
      </c>
      <c r="G181" s="3" t="s">
        <v>173</v>
      </c>
      <c r="H181" s="3" t="s">
        <v>174</v>
      </c>
      <c r="I181" s="3"/>
      <c r="J181" s="3"/>
      <c r="K181" s="3">
        <v>212</v>
      </c>
      <c r="L181" s="3">
        <v>14</v>
      </c>
      <c r="M181" s="3">
        <v>0</v>
      </c>
      <c r="N181" s="3" t="s">
        <v>3</v>
      </c>
    </row>
    <row r="182" spans="1:14" ht="12.75">
      <c r="A182" s="3">
        <v>50</v>
      </c>
      <c r="B182" s="3">
        <v>1</v>
      </c>
      <c r="C182" s="3">
        <v>0</v>
      </c>
      <c r="D182" s="3">
        <v>2</v>
      </c>
      <c r="E182" s="3">
        <v>0</v>
      </c>
      <c r="F182" s="3">
        <f>ROUND(Source!F181*0.18,2)</f>
        <v>88235.89</v>
      </c>
      <c r="G182" s="3" t="s">
        <v>175</v>
      </c>
      <c r="H182" s="3" t="s">
        <v>176</v>
      </c>
      <c r="I182" s="3"/>
      <c r="J182" s="3"/>
      <c r="K182" s="3">
        <v>212</v>
      </c>
      <c r="L182" s="3">
        <v>15</v>
      </c>
      <c r="M182" s="3">
        <v>0</v>
      </c>
      <c r="N182" s="3" t="s">
        <v>3</v>
      </c>
    </row>
    <row r="183" spans="1:14" ht="12.75">
      <c r="A183" s="3">
        <v>50</v>
      </c>
      <c r="B183" s="3">
        <v>1</v>
      </c>
      <c r="C183" s="3">
        <v>0</v>
      </c>
      <c r="D183" s="3">
        <v>2</v>
      </c>
      <c r="E183" s="3">
        <v>213</v>
      </c>
      <c r="F183" s="3">
        <f>ROUND(Source!F181+Source!F182,2)</f>
        <v>578435.26</v>
      </c>
      <c r="G183" s="3" t="s">
        <v>177</v>
      </c>
      <c r="H183" s="3" t="s">
        <v>177</v>
      </c>
      <c r="I183" s="3"/>
      <c r="J183" s="3"/>
      <c r="K183" s="3">
        <v>212</v>
      </c>
      <c r="L183" s="3">
        <v>16</v>
      </c>
      <c r="M183" s="3">
        <v>0</v>
      </c>
      <c r="N183" s="3" t="s">
        <v>3</v>
      </c>
    </row>
    <row r="186" spans="1:14" ht="12.75">
      <c r="A186">
        <v>70</v>
      </c>
      <c r="B186">
        <v>1</v>
      </c>
      <c r="D186">
        <v>0</v>
      </c>
      <c r="E186" t="s">
        <v>178</v>
      </c>
      <c r="F186" t="s">
        <v>179</v>
      </c>
      <c r="G186">
        <v>1</v>
      </c>
      <c r="H186">
        <v>1</v>
      </c>
      <c r="I186" t="s">
        <v>180</v>
      </c>
      <c r="J186">
        <v>0</v>
      </c>
      <c r="K186">
        <v>0</v>
      </c>
      <c r="N186">
        <v>0</v>
      </c>
    </row>
    <row r="187" spans="1:14" ht="12.75">
      <c r="A187">
        <v>70</v>
      </c>
      <c r="B187">
        <v>1</v>
      </c>
      <c r="D187">
        <v>0</v>
      </c>
      <c r="E187" t="s">
        <v>181</v>
      </c>
      <c r="F187" t="s">
        <v>182</v>
      </c>
      <c r="G187">
        <v>1</v>
      </c>
      <c r="H187">
        <v>1</v>
      </c>
      <c r="I187" t="s">
        <v>183</v>
      </c>
      <c r="J187">
        <v>0</v>
      </c>
      <c r="K187">
        <v>0</v>
      </c>
      <c r="N187">
        <v>0</v>
      </c>
    </row>
    <row r="188" spans="1:14" ht="12.75">
      <c r="A188">
        <v>70</v>
      </c>
      <c r="B188">
        <v>1</v>
      </c>
      <c r="D188">
        <v>0</v>
      </c>
      <c r="E188" t="s">
        <v>184</v>
      </c>
      <c r="F188" t="s">
        <v>185</v>
      </c>
      <c r="G188">
        <v>1</v>
      </c>
      <c r="H188">
        <v>0</v>
      </c>
      <c r="I188" t="s">
        <v>186</v>
      </c>
      <c r="J188">
        <v>0</v>
      </c>
      <c r="K188">
        <v>0</v>
      </c>
      <c r="N188">
        <v>0</v>
      </c>
    </row>
    <row r="189" spans="1:14" ht="12.75">
      <c r="A189">
        <v>70</v>
      </c>
      <c r="B189">
        <v>1</v>
      </c>
      <c r="D189">
        <v>0</v>
      </c>
      <c r="E189" t="s">
        <v>187</v>
      </c>
      <c r="F189" t="s">
        <v>188</v>
      </c>
      <c r="G189">
        <v>0.85</v>
      </c>
      <c r="H189">
        <v>0.85</v>
      </c>
      <c r="I189" t="s">
        <v>189</v>
      </c>
      <c r="J189">
        <v>0</v>
      </c>
      <c r="K189">
        <v>0</v>
      </c>
      <c r="N189">
        <v>0</v>
      </c>
    </row>
    <row r="190" spans="1:14" ht="12.75">
      <c r="A190">
        <v>70</v>
      </c>
      <c r="B190">
        <v>1</v>
      </c>
      <c r="D190">
        <v>0</v>
      </c>
      <c r="E190" t="s">
        <v>190</v>
      </c>
      <c r="F190" t="s">
        <v>191</v>
      </c>
      <c r="G190">
        <v>0.8</v>
      </c>
      <c r="H190">
        <v>0.8</v>
      </c>
      <c r="I190" t="s">
        <v>192</v>
      </c>
      <c r="J190">
        <v>0</v>
      </c>
      <c r="K190">
        <v>0</v>
      </c>
      <c r="N190">
        <v>0</v>
      </c>
    </row>
    <row r="191" spans="1:14" ht="12.75">
      <c r="A191">
        <v>70</v>
      </c>
      <c r="B191">
        <v>1</v>
      </c>
      <c r="D191">
        <v>0</v>
      </c>
      <c r="E191" t="s">
        <v>193</v>
      </c>
      <c r="F191" t="s">
        <v>194</v>
      </c>
      <c r="G191">
        <v>1</v>
      </c>
      <c r="H191">
        <v>1</v>
      </c>
      <c r="I191" t="s">
        <v>195</v>
      </c>
      <c r="J191">
        <v>0</v>
      </c>
      <c r="K191">
        <v>0</v>
      </c>
      <c r="N191">
        <v>0</v>
      </c>
    </row>
    <row r="192" spans="1:14" ht="12.75">
      <c r="A192">
        <v>70</v>
      </c>
      <c r="B192">
        <v>1</v>
      </c>
      <c r="D192">
        <v>0</v>
      </c>
      <c r="E192" t="s">
        <v>196</v>
      </c>
      <c r="F192" t="s">
        <v>197</v>
      </c>
      <c r="G192">
        <v>0</v>
      </c>
      <c r="H192">
        <v>0</v>
      </c>
      <c r="I192" t="s">
        <v>198</v>
      </c>
      <c r="J192">
        <v>0</v>
      </c>
      <c r="K192">
        <v>0</v>
      </c>
      <c r="N192">
        <v>0</v>
      </c>
    </row>
    <row r="193" spans="1:14" ht="12.75">
      <c r="A193">
        <v>70</v>
      </c>
      <c r="B193">
        <v>1</v>
      </c>
      <c r="D193">
        <v>0</v>
      </c>
      <c r="E193" t="s">
        <v>199</v>
      </c>
      <c r="F193" t="s">
        <v>200</v>
      </c>
      <c r="G193">
        <v>0</v>
      </c>
      <c r="H193">
        <v>0</v>
      </c>
      <c r="I193" t="s">
        <v>201</v>
      </c>
      <c r="J193">
        <v>0</v>
      </c>
      <c r="K193">
        <v>0</v>
      </c>
      <c r="N193">
        <v>0</v>
      </c>
    </row>
    <row r="194" spans="1:14" ht="12.75">
      <c r="A194">
        <v>70</v>
      </c>
      <c r="B194">
        <v>1</v>
      </c>
      <c r="D194">
        <v>0</v>
      </c>
      <c r="E194" t="s">
        <v>202</v>
      </c>
      <c r="F194" t="s">
        <v>203</v>
      </c>
      <c r="G194">
        <v>1</v>
      </c>
      <c r="H194">
        <v>1</v>
      </c>
      <c r="I194" t="s">
        <v>204</v>
      </c>
      <c r="J194">
        <v>0</v>
      </c>
      <c r="K194">
        <v>0</v>
      </c>
      <c r="N194">
        <v>0</v>
      </c>
    </row>
    <row r="195" spans="1:14" ht="12.75">
      <c r="A195">
        <v>70</v>
      </c>
      <c r="B195">
        <v>1</v>
      </c>
      <c r="D195">
        <v>0</v>
      </c>
      <c r="E195" t="s">
        <v>205</v>
      </c>
      <c r="F195" t="s">
        <v>206</v>
      </c>
      <c r="G195">
        <v>0</v>
      </c>
      <c r="H195">
        <v>0</v>
      </c>
      <c r="I195" t="s">
        <v>207</v>
      </c>
      <c r="J195">
        <v>0</v>
      </c>
      <c r="K195">
        <v>0</v>
      </c>
      <c r="N195">
        <v>0</v>
      </c>
    </row>
    <row r="196" spans="1:14" ht="12.75">
      <c r="A196">
        <v>70</v>
      </c>
      <c r="B196">
        <v>1</v>
      </c>
      <c r="D196">
        <v>0</v>
      </c>
      <c r="E196" t="s">
        <v>208</v>
      </c>
      <c r="F196" t="s">
        <v>209</v>
      </c>
      <c r="G196">
        <v>0</v>
      </c>
      <c r="H196">
        <v>0</v>
      </c>
      <c r="I196" t="s">
        <v>210</v>
      </c>
      <c r="J196">
        <v>0</v>
      </c>
      <c r="K196">
        <v>0</v>
      </c>
      <c r="N196">
        <v>0</v>
      </c>
    </row>
    <row r="197" spans="1:14" ht="12.75">
      <c r="A197">
        <v>70</v>
      </c>
      <c r="B197">
        <v>1</v>
      </c>
      <c r="D197">
        <v>0</v>
      </c>
      <c r="E197" t="s">
        <v>211</v>
      </c>
      <c r="F197" t="s">
        <v>212</v>
      </c>
      <c r="G197">
        <v>0.94</v>
      </c>
      <c r="H197">
        <v>0.94</v>
      </c>
      <c r="I197" t="s">
        <v>213</v>
      </c>
      <c r="J197">
        <v>0</v>
      </c>
      <c r="K197">
        <v>0</v>
      </c>
      <c r="N197">
        <v>0</v>
      </c>
    </row>
    <row r="198" spans="1:14" ht="12.75">
      <c r="A198">
        <v>70</v>
      </c>
      <c r="B198">
        <v>1</v>
      </c>
      <c r="D198">
        <v>0</v>
      </c>
      <c r="E198" t="s">
        <v>214</v>
      </c>
      <c r="F198" t="s">
        <v>215</v>
      </c>
      <c r="G198">
        <v>0</v>
      </c>
      <c r="H198">
        <v>0</v>
      </c>
      <c r="I198" t="s">
        <v>216</v>
      </c>
      <c r="J198">
        <v>0</v>
      </c>
      <c r="K198">
        <v>0</v>
      </c>
      <c r="N198">
        <v>0</v>
      </c>
    </row>
    <row r="199" spans="1:14" ht="12.75">
      <c r="A199">
        <v>70</v>
      </c>
      <c r="B199">
        <v>1</v>
      </c>
      <c r="D199">
        <v>0</v>
      </c>
      <c r="E199" t="s">
        <v>217</v>
      </c>
      <c r="F199" t="s">
        <v>218</v>
      </c>
      <c r="G199">
        <v>0</v>
      </c>
      <c r="H199">
        <v>0</v>
      </c>
      <c r="I199" t="s">
        <v>219</v>
      </c>
      <c r="J199">
        <v>0</v>
      </c>
      <c r="K199">
        <v>0</v>
      </c>
      <c r="N199">
        <v>0</v>
      </c>
    </row>
    <row r="200" spans="1:14" ht="12.75">
      <c r="A200">
        <v>70</v>
      </c>
      <c r="B200">
        <v>1</v>
      </c>
      <c r="D200">
        <v>0</v>
      </c>
      <c r="E200" t="s">
        <v>220</v>
      </c>
      <c r="F200" t="s">
        <v>221</v>
      </c>
      <c r="G200">
        <v>0</v>
      </c>
      <c r="H200">
        <v>0</v>
      </c>
      <c r="I200" t="s">
        <v>222</v>
      </c>
      <c r="J200">
        <v>0</v>
      </c>
      <c r="K200">
        <v>0</v>
      </c>
      <c r="N200">
        <v>0</v>
      </c>
    </row>
    <row r="203" spans="1:5" ht="12.75">
      <c r="A203">
        <v>65</v>
      </c>
      <c r="C203">
        <v>1</v>
      </c>
      <c r="D203">
        <v>0</v>
      </c>
      <c r="E203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1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27554361</v>
      </c>
      <c r="C1">
        <v>27554360</v>
      </c>
      <c r="D1">
        <v>24504896</v>
      </c>
      <c r="E1">
        <v>1</v>
      </c>
      <c r="F1">
        <v>1</v>
      </c>
      <c r="G1">
        <v>1</v>
      </c>
      <c r="H1">
        <v>1</v>
      </c>
      <c r="I1" t="s">
        <v>223</v>
      </c>
      <c r="K1" t="s">
        <v>224</v>
      </c>
      <c r="L1">
        <v>1369</v>
      </c>
      <c r="N1">
        <v>1013</v>
      </c>
      <c r="O1" t="s">
        <v>225</v>
      </c>
      <c r="P1" t="s">
        <v>225</v>
      </c>
      <c r="Q1">
        <v>1</v>
      </c>
      <c r="Y1">
        <v>13.34</v>
      </c>
      <c r="AA1">
        <v>0</v>
      </c>
      <c r="AB1">
        <v>0</v>
      </c>
      <c r="AC1">
        <v>0</v>
      </c>
      <c r="AD1">
        <v>9.07</v>
      </c>
      <c r="AN1">
        <v>0</v>
      </c>
      <c r="AO1">
        <v>1</v>
      </c>
      <c r="AP1">
        <v>0</v>
      </c>
      <c r="AQ1">
        <v>0</v>
      </c>
      <c r="AR1">
        <v>0</v>
      </c>
      <c r="AT1">
        <v>13.34</v>
      </c>
      <c r="AV1">
        <v>1</v>
      </c>
      <c r="AW1">
        <v>2</v>
      </c>
      <c r="AX1">
        <v>27554364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27554362</v>
      </c>
      <c r="C2">
        <v>27554360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226</v>
      </c>
      <c r="L2">
        <v>608254</v>
      </c>
      <c r="N2">
        <v>1013</v>
      </c>
      <c r="O2" t="s">
        <v>227</v>
      </c>
      <c r="P2" t="s">
        <v>227</v>
      </c>
      <c r="Q2">
        <v>1</v>
      </c>
      <c r="Y2">
        <v>0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</v>
      </c>
      <c r="AV2">
        <v>2</v>
      </c>
      <c r="AW2">
        <v>2</v>
      </c>
      <c r="AX2">
        <v>27554365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ROW(Source!A28)</f>
        <v>28</v>
      </c>
      <c r="B3">
        <v>27554363</v>
      </c>
      <c r="C3">
        <v>27554360</v>
      </c>
      <c r="D3">
        <v>24452341</v>
      </c>
      <c r="E3">
        <v>1</v>
      </c>
      <c r="F3">
        <v>1</v>
      </c>
      <c r="G3">
        <v>1</v>
      </c>
      <c r="H3">
        <v>2</v>
      </c>
      <c r="I3" t="s">
        <v>228</v>
      </c>
      <c r="J3" t="s">
        <v>229</v>
      </c>
      <c r="K3" t="s">
        <v>230</v>
      </c>
      <c r="L3">
        <v>1368</v>
      </c>
      <c r="N3">
        <v>1011</v>
      </c>
      <c r="O3" t="s">
        <v>231</v>
      </c>
      <c r="P3" t="s">
        <v>231</v>
      </c>
      <c r="Q3">
        <v>1</v>
      </c>
      <c r="Y3">
        <v>6.48</v>
      </c>
      <c r="AA3">
        <v>0</v>
      </c>
      <c r="AB3">
        <v>5.09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6.48</v>
      </c>
      <c r="AV3">
        <v>0</v>
      </c>
      <c r="AW3">
        <v>2</v>
      </c>
      <c r="AX3">
        <v>27554366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ROW(Source!A29)</f>
        <v>29</v>
      </c>
      <c r="B4">
        <v>27554371</v>
      </c>
      <c r="C4">
        <v>27554370</v>
      </c>
      <c r="D4">
        <v>24505677</v>
      </c>
      <c r="E4">
        <v>1</v>
      </c>
      <c r="F4">
        <v>1</v>
      </c>
      <c r="G4">
        <v>1</v>
      </c>
      <c r="H4">
        <v>1</v>
      </c>
      <c r="I4" t="s">
        <v>232</v>
      </c>
      <c r="K4" t="s">
        <v>233</v>
      </c>
      <c r="L4">
        <v>1369</v>
      </c>
      <c r="N4">
        <v>1013</v>
      </c>
      <c r="O4" t="s">
        <v>225</v>
      </c>
      <c r="P4" t="s">
        <v>225</v>
      </c>
      <c r="Q4">
        <v>1</v>
      </c>
      <c r="Y4">
        <v>2.07</v>
      </c>
      <c r="AA4">
        <v>0</v>
      </c>
      <c r="AB4">
        <v>0</v>
      </c>
      <c r="AC4">
        <v>0</v>
      </c>
      <c r="AD4">
        <v>8.46</v>
      </c>
      <c r="AN4">
        <v>0</v>
      </c>
      <c r="AO4">
        <v>1</v>
      </c>
      <c r="AP4">
        <v>0</v>
      </c>
      <c r="AQ4">
        <v>0</v>
      </c>
      <c r="AR4">
        <v>0</v>
      </c>
      <c r="AT4">
        <v>2.07</v>
      </c>
      <c r="AV4">
        <v>1</v>
      </c>
      <c r="AW4">
        <v>2</v>
      </c>
      <c r="AX4">
        <v>27554371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ROW(Source!A29)</f>
        <v>29</v>
      </c>
      <c r="B5">
        <v>27554372</v>
      </c>
      <c r="C5">
        <v>27554370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28</v>
      </c>
      <c r="K5" t="s">
        <v>226</v>
      </c>
      <c r="L5">
        <v>608254</v>
      </c>
      <c r="N5">
        <v>1013</v>
      </c>
      <c r="O5" t="s">
        <v>227</v>
      </c>
      <c r="P5" t="s">
        <v>227</v>
      </c>
      <c r="Q5">
        <v>1</v>
      </c>
      <c r="Y5">
        <v>1.86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1.86</v>
      </c>
      <c r="AV5">
        <v>2</v>
      </c>
      <c r="AW5">
        <v>2</v>
      </c>
      <c r="AX5">
        <v>27554372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ROW(Source!A29)</f>
        <v>29</v>
      </c>
      <c r="B6">
        <v>27554373</v>
      </c>
      <c r="C6">
        <v>27554370</v>
      </c>
      <c r="D6">
        <v>24450975</v>
      </c>
      <c r="E6">
        <v>1</v>
      </c>
      <c r="F6">
        <v>1</v>
      </c>
      <c r="G6">
        <v>1</v>
      </c>
      <c r="H6">
        <v>2</v>
      </c>
      <c r="I6" t="s">
        <v>234</v>
      </c>
      <c r="J6" t="s">
        <v>235</v>
      </c>
      <c r="K6" t="s">
        <v>236</v>
      </c>
      <c r="L6">
        <v>1368</v>
      </c>
      <c r="N6">
        <v>1011</v>
      </c>
      <c r="O6" t="s">
        <v>231</v>
      </c>
      <c r="P6" t="s">
        <v>231</v>
      </c>
      <c r="Q6">
        <v>1</v>
      </c>
      <c r="Y6">
        <v>1.86</v>
      </c>
      <c r="AA6">
        <v>0</v>
      </c>
      <c r="AB6">
        <v>270</v>
      </c>
      <c r="AC6">
        <v>15.42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1.86</v>
      </c>
      <c r="AV6">
        <v>0</v>
      </c>
      <c r="AW6">
        <v>2</v>
      </c>
      <c r="AX6">
        <v>27554373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ROW(Source!A30)</f>
        <v>30</v>
      </c>
      <c r="B7">
        <v>27554960</v>
      </c>
      <c r="C7">
        <v>27554959</v>
      </c>
      <c r="D7">
        <v>24505677</v>
      </c>
      <c r="E7">
        <v>1</v>
      </c>
      <c r="F7">
        <v>1</v>
      </c>
      <c r="G7">
        <v>1</v>
      </c>
      <c r="H7">
        <v>1</v>
      </c>
      <c r="I7" t="s">
        <v>232</v>
      </c>
      <c r="K7" t="s">
        <v>233</v>
      </c>
      <c r="L7">
        <v>1369</v>
      </c>
      <c r="N7">
        <v>1013</v>
      </c>
      <c r="O7" t="s">
        <v>225</v>
      </c>
      <c r="P7" t="s">
        <v>225</v>
      </c>
      <c r="Q7">
        <v>1</v>
      </c>
      <c r="Y7">
        <v>0.53</v>
      </c>
      <c r="AA7">
        <v>0</v>
      </c>
      <c r="AB7">
        <v>0</v>
      </c>
      <c r="AC7">
        <v>0</v>
      </c>
      <c r="AD7">
        <v>8.46</v>
      </c>
      <c r="AN7">
        <v>0</v>
      </c>
      <c r="AO7">
        <v>1</v>
      </c>
      <c r="AP7">
        <v>0</v>
      </c>
      <c r="AQ7">
        <v>0</v>
      </c>
      <c r="AR7">
        <v>0</v>
      </c>
      <c r="AT7">
        <v>0.53</v>
      </c>
      <c r="AV7">
        <v>1</v>
      </c>
      <c r="AW7">
        <v>2</v>
      </c>
      <c r="AX7">
        <v>27554960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ROW(Source!A30)</f>
        <v>30</v>
      </c>
      <c r="B8">
        <v>27554961</v>
      </c>
      <c r="C8">
        <v>27554959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28</v>
      </c>
      <c r="K8" t="s">
        <v>226</v>
      </c>
      <c r="L8">
        <v>608254</v>
      </c>
      <c r="N8">
        <v>1013</v>
      </c>
      <c r="O8" t="s">
        <v>227</v>
      </c>
      <c r="P8" t="s">
        <v>227</v>
      </c>
      <c r="Q8">
        <v>1</v>
      </c>
      <c r="Y8">
        <v>0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</v>
      </c>
      <c r="AV8">
        <v>2</v>
      </c>
      <c r="AW8">
        <v>2</v>
      </c>
      <c r="AX8">
        <v>27554961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ROW(Source!A33)</f>
        <v>33</v>
      </c>
      <c r="B9">
        <v>27554969</v>
      </c>
      <c r="C9">
        <v>27554968</v>
      </c>
      <c r="D9">
        <v>24504205</v>
      </c>
      <c r="E9">
        <v>1</v>
      </c>
      <c r="F9">
        <v>1</v>
      </c>
      <c r="G9">
        <v>1</v>
      </c>
      <c r="H9">
        <v>1</v>
      </c>
      <c r="I9" t="s">
        <v>237</v>
      </c>
      <c r="K9" t="s">
        <v>238</v>
      </c>
      <c r="L9">
        <v>1369</v>
      </c>
      <c r="N9">
        <v>1013</v>
      </c>
      <c r="O9" t="s">
        <v>225</v>
      </c>
      <c r="P9" t="s">
        <v>225</v>
      </c>
      <c r="Q9">
        <v>1</v>
      </c>
      <c r="Y9">
        <v>0.25</v>
      </c>
      <c r="AA9">
        <v>0</v>
      </c>
      <c r="AB9">
        <v>0</v>
      </c>
      <c r="AC9">
        <v>0</v>
      </c>
      <c r="AD9">
        <v>7.68</v>
      </c>
      <c r="AN9">
        <v>0</v>
      </c>
      <c r="AO9">
        <v>1</v>
      </c>
      <c r="AP9">
        <v>0</v>
      </c>
      <c r="AQ9">
        <v>0</v>
      </c>
      <c r="AR9">
        <v>0</v>
      </c>
      <c r="AT9">
        <v>0.25</v>
      </c>
      <c r="AV9">
        <v>1</v>
      </c>
      <c r="AW9">
        <v>2</v>
      </c>
      <c r="AX9">
        <v>27554969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ROW(Source!A33)</f>
        <v>33</v>
      </c>
      <c r="B10">
        <v>27554970</v>
      </c>
      <c r="C10">
        <v>27554968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28</v>
      </c>
      <c r="K10" t="s">
        <v>226</v>
      </c>
      <c r="L10">
        <v>608254</v>
      </c>
      <c r="N10">
        <v>1013</v>
      </c>
      <c r="O10" t="s">
        <v>227</v>
      </c>
      <c r="P10" t="s">
        <v>227</v>
      </c>
      <c r="Q10">
        <v>1</v>
      </c>
      <c r="Y10">
        <v>0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</v>
      </c>
      <c r="AV10">
        <v>2</v>
      </c>
      <c r="AW10">
        <v>2</v>
      </c>
      <c r="AX10">
        <v>27554970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ROW(Source!A34)</f>
        <v>34</v>
      </c>
      <c r="B11">
        <v>27555270</v>
      </c>
      <c r="C11">
        <v>27555269</v>
      </c>
      <c r="D11">
        <v>24508406</v>
      </c>
      <c r="E11">
        <v>1</v>
      </c>
      <c r="F11">
        <v>1</v>
      </c>
      <c r="G11">
        <v>1</v>
      </c>
      <c r="H11">
        <v>1</v>
      </c>
      <c r="I11" t="s">
        <v>239</v>
      </c>
      <c r="K11" t="s">
        <v>240</v>
      </c>
      <c r="L11">
        <v>1369</v>
      </c>
      <c r="N11">
        <v>1013</v>
      </c>
      <c r="O11" t="s">
        <v>225</v>
      </c>
      <c r="P11" t="s">
        <v>225</v>
      </c>
      <c r="Q11">
        <v>1</v>
      </c>
      <c r="Y11">
        <v>301.385</v>
      </c>
      <c r="AA11">
        <v>0</v>
      </c>
      <c r="AB11">
        <v>0</v>
      </c>
      <c r="AC11">
        <v>0</v>
      </c>
      <c r="AD11">
        <v>9.18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430.55</v>
      </c>
      <c r="AU11" t="s">
        <v>57</v>
      </c>
      <c r="AV11">
        <v>1</v>
      </c>
      <c r="AW11">
        <v>2</v>
      </c>
      <c r="AX11">
        <v>27555270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ROW(Source!A34)</f>
        <v>34</v>
      </c>
      <c r="B12">
        <v>27555271</v>
      </c>
      <c r="C12">
        <v>27555269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28</v>
      </c>
      <c r="K12" t="s">
        <v>226</v>
      </c>
      <c r="L12">
        <v>608254</v>
      </c>
      <c r="N12">
        <v>1013</v>
      </c>
      <c r="O12" t="s">
        <v>227</v>
      </c>
      <c r="P12" t="s">
        <v>227</v>
      </c>
      <c r="Q12">
        <v>1</v>
      </c>
      <c r="Y12">
        <v>72.044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102.92</v>
      </c>
      <c r="AU12" t="s">
        <v>57</v>
      </c>
      <c r="AV12">
        <v>2</v>
      </c>
      <c r="AW12">
        <v>2</v>
      </c>
      <c r="AX12">
        <v>27555271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ROW(Source!A34)</f>
        <v>34</v>
      </c>
      <c r="B13">
        <v>27555272</v>
      </c>
      <c r="C13">
        <v>27555269</v>
      </c>
      <c r="D13">
        <v>24450839</v>
      </c>
      <c r="E13">
        <v>1</v>
      </c>
      <c r="F13">
        <v>1</v>
      </c>
      <c r="G13">
        <v>1</v>
      </c>
      <c r="H13">
        <v>2</v>
      </c>
      <c r="I13" t="s">
        <v>241</v>
      </c>
      <c r="J13" t="s">
        <v>242</v>
      </c>
      <c r="K13" t="s">
        <v>243</v>
      </c>
      <c r="L13">
        <v>1368</v>
      </c>
      <c r="N13">
        <v>1011</v>
      </c>
      <c r="O13" t="s">
        <v>231</v>
      </c>
      <c r="P13" t="s">
        <v>231</v>
      </c>
      <c r="Q13">
        <v>1</v>
      </c>
      <c r="Y13">
        <v>68.803</v>
      </c>
      <c r="AA13">
        <v>0</v>
      </c>
      <c r="AB13">
        <v>112</v>
      </c>
      <c r="AC13">
        <v>13.5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98.29</v>
      </c>
      <c r="AU13" t="s">
        <v>57</v>
      </c>
      <c r="AV13">
        <v>0</v>
      </c>
      <c r="AW13">
        <v>2</v>
      </c>
      <c r="AX13">
        <v>27555272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ROW(Source!A34)</f>
        <v>34</v>
      </c>
      <c r="B14">
        <v>27555273</v>
      </c>
      <c r="C14">
        <v>27555269</v>
      </c>
      <c r="D14">
        <v>24450908</v>
      </c>
      <c r="E14">
        <v>1</v>
      </c>
      <c r="F14">
        <v>1</v>
      </c>
      <c r="G14">
        <v>1</v>
      </c>
      <c r="H14">
        <v>2</v>
      </c>
      <c r="I14" t="s">
        <v>244</v>
      </c>
      <c r="J14" t="s">
        <v>245</v>
      </c>
      <c r="K14" t="s">
        <v>246</v>
      </c>
      <c r="L14">
        <v>1368</v>
      </c>
      <c r="N14">
        <v>1011</v>
      </c>
      <c r="O14" t="s">
        <v>231</v>
      </c>
      <c r="P14" t="s">
        <v>231</v>
      </c>
      <c r="Q14">
        <v>1</v>
      </c>
      <c r="Y14">
        <v>0.23099999999999998</v>
      </c>
      <c r="AA14">
        <v>0</v>
      </c>
      <c r="AB14">
        <v>99.89</v>
      </c>
      <c r="AC14">
        <v>10.06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0.33</v>
      </c>
      <c r="AU14" t="s">
        <v>57</v>
      </c>
      <c r="AV14">
        <v>0</v>
      </c>
      <c r="AW14">
        <v>2</v>
      </c>
      <c r="AX14">
        <v>27555273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ROW(Source!A34)</f>
        <v>34</v>
      </c>
      <c r="B15">
        <v>27555274</v>
      </c>
      <c r="C15">
        <v>27555269</v>
      </c>
      <c r="D15">
        <v>24451039</v>
      </c>
      <c r="E15">
        <v>1</v>
      </c>
      <c r="F15">
        <v>1</v>
      </c>
      <c r="G15">
        <v>1</v>
      </c>
      <c r="H15">
        <v>2</v>
      </c>
      <c r="I15" t="s">
        <v>247</v>
      </c>
      <c r="J15" t="s">
        <v>248</v>
      </c>
      <c r="K15" t="s">
        <v>249</v>
      </c>
      <c r="L15">
        <v>1368</v>
      </c>
      <c r="N15">
        <v>1011</v>
      </c>
      <c r="O15" t="s">
        <v>231</v>
      </c>
      <c r="P15" t="s">
        <v>231</v>
      </c>
      <c r="Q15">
        <v>1</v>
      </c>
      <c r="Y15">
        <v>11.445</v>
      </c>
      <c r="AA15">
        <v>0</v>
      </c>
      <c r="AB15">
        <v>8.1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16.35</v>
      </c>
      <c r="AU15" t="s">
        <v>57</v>
      </c>
      <c r="AV15">
        <v>0</v>
      </c>
      <c r="AW15">
        <v>2</v>
      </c>
      <c r="AX15">
        <v>27555274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ROW(Source!A34)</f>
        <v>34</v>
      </c>
      <c r="B16">
        <v>27555275</v>
      </c>
      <c r="C16">
        <v>27555269</v>
      </c>
      <c r="D16">
        <v>24451149</v>
      </c>
      <c r="E16">
        <v>1</v>
      </c>
      <c r="F16">
        <v>1</v>
      </c>
      <c r="G16">
        <v>1</v>
      </c>
      <c r="H16">
        <v>2</v>
      </c>
      <c r="I16" t="s">
        <v>250</v>
      </c>
      <c r="J16" t="s">
        <v>251</v>
      </c>
      <c r="K16" t="s">
        <v>252</v>
      </c>
      <c r="L16">
        <v>1368</v>
      </c>
      <c r="N16">
        <v>1011</v>
      </c>
      <c r="O16" t="s">
        <v>231</v>
      </c>
      <c r="P16" t="s">
        <v>231</v>
      </c>
      <c r="Q16">
        <v>1</v>
      </c>
      <c r="Y16">
        <v>3.01</v>
      </c>
      <c r="AA16">
        <v>0</v>
      </c>
      <c r="AB16">
        <v>70.01</v>
      </c>
      <c r="AC16">
        <v>11.6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4.3</v>
      </c>
      <c r="AU16" t="s">
        <v>57</v>
      </c>
      <c r="AV16">
        <v>0</v>
      </c>
      <c r="AW16">
        <v>2</v>
      </c>
      <c r="AX16">
        <v>27555275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ROW(Source!A34)</f>
        <v>34</v>
      </c>
      <c r="B17">
        <v>27555276</v>
      </c>
      <c r="C17">
        <v>27555269</v>
      </c>
      <c r="D17">
        <v>24452575</v>
      </c>
      <c r="E17">
        <v>1</v>
      </c>
      <c r="F17">
        <v>1</v>
      </c>
      <c r="G17">
        <v>1</v>
      </c>
      <c r="H17">
        <v>2</v>
      </c>
      <c r="I17" t="s">
        <v>253</v>
      </c>
      <c r="J17" t="s">
        <v>254</v>
      </c>
      <c r="K17" t="s">
        <v>255</v>
      </c>
      <c r="L17">
        <v>1368</v>
      </c>
      <c r="N17">
        <v>1011</v>
      </c>
      <c r="O17" t="s">
        <v>231</v>
      </c>
      <c r="P17" t="s">
        <v>231</v>
      </c>
      <c r="Q17">
        <v>1</v>
      </c>
      <c r="Y17">
        <v>5.005</v>
      </c>
      <c r="AA17">
        <v>0</v>
      </c>
      <c r="AB17">
        <v>87.17</v>
      </c>
      <c r="AC17">
        <v>11.6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7.15</v>
      </c>
      <c r="AU17" t="s">
        <v>57</v>
      </c>
      <c r="AV17">
        <v>0</v>
      </c>
      <c r="AW17">
        <v>2</v>
      </c>
      <c r="AX17">
        <v>27555276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ROW(Source!A34)</f>
        <v>34</v>
      </c>
      <c r="B18">
        <v>27555277</v>
      </c>
      <c r="C18">
        <v>27555269</v>
      </c>
      <c r="D18">
        <v>24454189</v>
      </c>
      <c r="E18">
        <v>1</v>
      </c>
      <c r="F18">
        <v>1</v>
      </c>
      <c r="G18">
        <v>1</v>
      </c>
      <c r="H18">
        <v>3</v>
      </c>
      <c r="I18" t="s">
        <v>256</v>
      </c>
      <c r="J18" t="s">
        <v>257</v>
      </c>
      <c r="K18" t="s">
        <v>258</v>
      </c>
      <c r="L18">
        <v>1348</v>
      </c>
      <c r="N18">
        <v>1009</v>
      </c>
      <c r="O18" t="s">
        <v>39</v>
      </c>
      <c r="P18" t="s">
        <v>39</v>
      </c>
      <c r="Q18">
        <v>1000</v>
      </c>
      <c r="Y18">
        <v>0</v>
      </c>
      <c r="AA18">
        <v>412.01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1.02</v>
      </c>
      <c r="AU18" t="s">
        <v>56</v>
      </c>
      <c r="AV18">
        <v>0</v>
      </c>
      <c r="AW18">
        <v>2</v>
      </c>
      <c r="AX18">
        <v>27555277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ROW(Source!A34)</f>
        <v>34</v>
      </c>
      <c r="B19">
        <v>27555278</v>
      </c>
      <c r="C19">
        <v>27555269</v>
      </c>
      <c r="D19">
        <v>24454280</v>
      </c>
      <c r="E19">
        <v>1</v>
      </c>
      <c r="F19">
        <v>1</v>
      </c>
      <c r="G19">
        <v>1</v>
      </c>
      <c r="H19">
        <v>3</v>
      </c>
      <c r="I19" t="s">
        <v>259</v>
      </c>
      <c r="J19" t="s">
        <v>260</v>
      </c>
      <c r="K19" t="s">
        <v>261</v>
      </c>
      <c r="L19">
        <v>1348</v>
      </c>
      <c r="N19">
        <v>1009</v>
      </c>
      <c r="O19" t="s">
        <v>39</v>
      </c>
      <c r="P19" t="s">
        <v>39</v>
      </c>
      <c r="Q19">
        <v>1000</v>
      </c>
      <c r="Y19">
        <v>0</v>
      </c>
      <c r="AA19">
        <v>9423.99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0.03</v>
      </c>
      <c r="AU19" t="s">
        <v>56</v>
      </c>
      <c r="AV19">
        <v>0</v>
      </c>
      <c r="AW19">
        <v>2</v>
      </c>
      <c r="AX19">
        <v>27555278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ROW(Source!A34)</f>
        <v>34</v>
      </c>
      <c r="B20">
        <v>27555279</v>
      </c>
      <c r="C20">
        <v>27555269</v>
      </c>
      <c r="D20">
        <v>24471559</v>
      </c>
      <c r="E20">
        <v>1</v>
      </c>
      <c r="F20">
        <v>1</v>
      </c>
      <c r="G20">
        <v>1</v>
      </c>
      <c r="H20">
        <v>3</v>
      </c>
      <c r="I20" t="s">
        <v>262</v>
      </c>
      <c r="J20" t="s">
        <v>263</v>
      </c>
      <c r="K20" t="s">
        <v>264</v>
      </c>
      <c r="L20">
        <v>1354</v>
      </c>
      <c r="N20">
        <v>1010</v>
      </c>
      <c r="O20" t="s">
        <v>20</v>
      </c>
      <c r="P20" t="s">
        <v>20</v>
      </c>
      <c r="Q20">
        <v>1</v>
      </c>
      <c r="Y20">
        <v>0</v>
      </c>
      <c r="AA20">
        <v>0</v>
      </c>
      <c r="AB20">
        <v>0</v>
      </c>
      <c r="AC20">
        <v>0</v>
      </c>
      <c r="AD20">
        <v>0</v>
      </c>
      <c r="AN20">
        <v>1</v>
      </c>
      <c r="AO20">
        <v>0</v>
      </c>
      <c r="AP20">
        <v>1</v>
      </c>
      <c r="AQ20">
        <v>0</v>
      </c>
      <c r="AR20">
        <v>0</v>
      </c>
      <c r="AT20">
        <v>100</v>
      </c>
      <c r="AU20" t="s">
        <v>56</v>
      </c>
      <c r="AV20">
        <v>0</v>
      </c>
      <c r="AW20">
        <v>2</v>
      </c>
      <c r="AX20">
        <v>27555279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ROW(Source!A34)</f>
        <v>34</v>
      </c>
      <c r="B21">
        <v>27555280</v>
      </c>
      <c r="C21">
        <v>27555269</v>
      </c>
      <c r="D21">
        <v>24471969</v>
      </c>
      <c r="E21">
        <v>1</v>
      </c>
      <c r="F21">
        <v>1</v>
      </c>
      <c r="G21">
        <v>1</v>
      </c>
      <c r="H21">
        <v>3</v>
      </c>
      <c r="I21" t="s">
        <v>265</v>
      </c>
      <c r="J21" t="s">
        <v>266</v>
      </c>
      <c r="K21" t="s">
        <v>267</v>
      </c>
      <c r="L21">
        <v>1339</v>
      </c>
      <c r="N21">
        <v>1007</v>
      </c>
      <c r="O21" t="s">
        <v>91</v>
      </c>
      <c r="P21" t="s">
        <v>91</v>
      </c>
      <c r="Q21">
        <v>1</v>
      </c>
      <c r="Y21">
        <v>0</v>
      </c>
      <c r="AA21">
        <v>137.61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</v>
      </c>
      <c r="AU21" t="s">
        <v>56</v>
      </c>
      <c r="AV21">
        <v>0</v>
      </c>
      <c r="AW21">
        <v>2</v>
      </c>
      <c r="AX21">
        <v>27555280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ROW(Source!A34)</f>
        <v>34</v>
      </c>
      <c r="B22">
        <v>27555281</v>
      </c>
      <c r="C22">
        <v>27555269</v>
      </c>
      <c r="D22">
        <v>24472293</v>
      </c>
      <c r="E22">
        <v>1</v>
      </c>
      <c r="F22">
        <v>1</v>
      </c>
      <c r="G22">
        <v>1</v>
      </c>
      <c r="H22">
        <v>3</v>
      </c>
      <c r="I22" t="s">
        <v>268</v>
      </c>
      <c r="J22" t="s">
        <v>269</v>
      </c>
      <c r="K22" t="s">
        <v>270</v>
      </c>
      <c r="L22">
        <v>1339</v>
      </c>
      <c r="N22">
        <v>1007</v>
      </c>
      <c r="O22" t="s">
        <v>91</v>
      </c>
      <c r="P22" t="s">
        <v>91</v>
      </c>
      <c r="Q22">
        <v>1</v>
      </c>
      <c r="Y22">
        <v>0</v>
      </c>
      <c r="AA22">
        <v>2.44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0.79</v>
      </c>
      <c r="AU22" t="s">
        <v>56</v>
      </c>
      <c r="AV22">
        <v>0</v>
      </c>
      <c r="AW22">
        <v>2</v>
      </c>
      <c r="AX22">
        <v>27555281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ROW(Source!A35)</f>
        <v>35</v>
      </c>
      <c r="B23">
        <v>27555520</v>
      </c>
      <c r="C23">
        <v>27555519</v>
      </c>
      <c r="D23">
        <v>24502559</v>
      </c>
      <c r="E23">
        <v>1</v>
      </c>
      <c r="F23">
        <v>1</v>
      </c>
      <c r="G23">
        <v>1</v>
      </c>
      <c r="H23">
        <v>1</v>
      </c>
      <c r="I23" t="s">
        <v>271</v>
      </c>
      <c r="K23" t="s">
        <v>272</v>
      </c>
      <c r="L23">
        <v>1369</v>
      </c>
      <c r="N23">
        <v>1013</v>
      </c>
      <c r="O23" t="s">
        <v>225</v>
      </c>
      <c r="P23" t="s">
        <v>225</v>
      </c>
      <c r="Q23">
        <v>1</v>
      </c>
      <c r="Y23">
        <v>0.98</v>
      </c>
      <c r="AA23">
        <v>0</v>
      </c>
      <c r="AB23">
        <v>0</v>
      </c>
      <c r="AC23">
        <v>0</v>
      </c>
      <c r="AD23">
        <v>7.87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0.98</v>
      </c>
      <c r="AV23">
        <v>1</v>
      </c>
      <c r="AW23">
        <v>2</v>
      </c>
      <c r="AX23">
        <v>27555520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ROW(Source!A35)</f>
        <v>35</v>
      </c>
      <c r="B24">
        <v>27555521</v>
      </c>
      <c r="C24">
        <v>27555519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28</v>
      </c>
      <c r="K24" t="s">
        <v>226</v>
      </c>
      <c r="L24">
        <v>608254</v>
      </c>
      <c r="N24">
        <v>1013</v>
      </c>
      <c r="O24" t="s">
        <v>227</v>
      </c>
      <c r="P24" t="s">
        <v>227</v>
      </c>
      <c r="Q24">
        <v>1</v>
      </c>
      <c r="Y24">
        <v>0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</v>
      </c>
      <c r="AV24">
        <v>2</v>
      </c>
      <c r="AW24">
        <v>2</v>
      </c>
      <c r="AX24">
        <v>27555521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ROW(Source!A35)</f>
        <v>35</v>
      </c>
      <c r="B25">
        <v>27555522</v>
      </c>
      <c r="C25">
        <v>27555519</v>
      </c>
      <c r="D25">
        <v>24451308</v>
      </c>
      <c r="E25">
        <v>1</v>
      </c>
      <c r="F25">
        <v>1</v>
      </c>
      <c r="G25">
        <v>1</v>
      </c>
      <c r="H25">
        <v>2</v>
      </c>
      <c r="I25" t="s">
        <v>273</v>
      </c>
      <c r="J25" t="s">
        <v>274</v>
      </c>
      <c r="K25" t="s">
        <v>275</v>
      </c>
      <c r="L25">
        <v>1368</v>
      </c>
      <c r="N25">
        <v>1011</v>
      </c>
      <c r="O25" t="s">
        <v>231</v>
      </c>
      <c r="P25" t="s">
        <v>231</v>
      </c>
      <c r="Q25">
        <v>1</v>
      </c>
      <c r="Y25">
        <v>0.75</v>
      </c>
      <c r="AA25">
        <v>0</v>
      </c>
      <c r="AB25">
        <v>16.5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0.75</v>
      </c>
      <c r="AV25">
        <v>0</v>
      </c>
      <c r="AW25">
        <v>2</v>
      </c>
      <c r="AX25">
        <v>27555522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ROW(Source!A36)</f>
        <v>36</v>
      </c>
      <c r="B26">
        <v>27555761</v>
      </c>
      <c r="C26">
        <v>27555760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28</v>
      </c>
      <c r="K26" t="s">
        <v>226</v>
      </c>
      <c r="L26">
        <v>608254</v>
      </c>
      <c r="N26">
        <v>1013</v>
      </c>
      <c r="O26" t="s">
        <v>227</v>
      </c>
      <c r="P26" t="s">
        <v>227</v>
      </c>
      <c r="Q26">
        <v>1</v>
      </c>
      <c r="Y26">
        <v>12.65</v>
      </c>
      <c r="AA26">
        <v>0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12.65</v>
      </c>
      <c r="AV26">
        <v>2</v>
      </c>
      <c r="AW26">
        <v>2</v>
      </c>
      <c r="AX26">
        <v>27555761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ROW(Source!A36)</f>
        <v>36</v>
      </c>
      <c r="B27">
        <v>27555762</v>
      </c>
      <c r="C27">
        <v>27555760</v>
      </c>
      <c r="D27">
        <v>24451198</v>
      </c>
      <c r="E27">
        <v>1</v>
      </c>
      <c r="F27">
        <v>1</v>
      </c>
      <c r="G27">
        <v>1</v>
      </c>
      <c r="H27">
        <v>2</v>
      </c>
      <c r="I27" t="s">
        <v>276</v>
      </c>
      <c r="J27" t="s">
        <v>277</v>
      </c>
      <c r="K27" t="s">
        <v>278</v>
      </c>
      <c r="L27">
        <v>1368</v>
      </c>
      <c r="N27">
        <v>1011</v>
      </c>
      <c r="O27" t="s">
        <v>231</v>
      </c>
      <c r="P27" t="s">
        <v>231</v>
      </c>
      <c r="Q27">
        <v>1</v>
      </c>
      <c r="Y27">
        <v>12.65</v>
      </c>
      <c r="AA27">
        <v>0</v>
      </c>
      <c r="AB27">
        <v>61.3</v>
      </c>
      <c r="AC27">
        <v>13.5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12.65</v>
      </c>
      <c r="AV27">
        <v>0</v>
      </c>
      <c r="AW27">
        <v>2</v>
      </c>
      <c r="AX27">
        <v>27555762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ROW(Source!A37)</f>
        <v>37</v>
      </c>
      <c r="B28">
        <v>27555764</v>
      </c>
      <c r="C28">
        <v>27555763</v>
      </c>
      <c r="D28">
        <v>24501834</v>
      </c>
      <c r="E28">
        <v>1</v>
      </c>
      <c r="F28">
        <v>1</v>
      </c>
      <c r="G28">
        <v>1</v>
      </c>
      <c r="H28">
        <v>1</v>
      </c>
      <c r="I28" t="s">
        <v>279</v>
      </c>
      <c r="K28" t="s">
        <v>280</v>
      </c>
      <c r="L28">
        <v>1369</v>
      </c>
      <c r="N28">
        <v>1013</v>
      </c>
      <c r="O28" t="s">
        <v>225</v>
      </c>
      <c r="P28" t="s">
        <v>225</v>
      </c>
      <c r="Q28">
        <v>1</v>
      </c>
      <c r="Y28">
        <v>11.41</v>
      </c>
      <c r="AA28">
        <v>0</v>
      </c>
      <c r="AB28">
        <v>0</v>
      </c>
      <c r="AC28">
        <v>0</v>
      </c>
      <c r="AD28">
        <v>7.8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11.41</v>
      </c>
      <c r="AV28">
        <v>1</v>
      </c>
      <c r="AW28">
        <v>2</v>
      </c>
      <c r="AX28">
        <v>27555764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ROW(Source!A37)</f>
        <v>37</v>
      </c>
      <c r="B29">
        <v>27555765</v>
      </c>
      <c r="C29">
        <v>27555763</v>
      </c>
      <c r="D29">
        <v>121548</v>
      </c>
      <c r="E29">
        <v>1</v>
      </c>
      <c r="F29">
        <v>1</v>
      </c>
      <c r="G29">
        <v>1</v>
      </c>
      <c r="H29">
        <v>1</v>
      </c>
      <c r="I29" t="s">
        <v>28</v>
      </c>
      <c r="K29" t="s">
        <v>226</v>
      </c>
      <c r="L29">
        <v>608254</v>
      </c>
      <c r="N29">
        <v>1013</v>
      </c>
      <c r="O29" t="s">
        <v>227</v>
      </c>
      <c r="P29" t="s">
        <v>227</v>
      </c>
      <c r="Q29">
        <v>1</v>
      </c>
      <c r="Y29">
        <v>33.09</v>
      </c>
      <c r="AA29">
        <v>0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33.09</v>
      </c>
      <c r="AV29">
        <v>2</v>
      </c>
      <c r="AW29">
        <v>2</v>
      </c>
      <c r="AX29">
        <v>27555765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ROW(Source!A37)</f>
        <v>37</v>
      </c>
      <c r="B30">
        <v>27555766</v>
      </c>
      <c r="C30">
        <v>27555763</v>
      </c>
      <c r="D30">
        <v>24451125</v>
      </c>
      <c r="E30">
        <v>1</v>
      </c>
      <c r="F30">
        <v>1</v>
      </c>
      <c r="G30">
        <v>1</v>
      </c>
      <c r="H30">
        <v>2</v>
      </c>
      <c r="I30" t="s">
        <v>281</v>
      </c>
      <c r="J30" t="s">
        <v>282</v>
      </c>
      <c r="K30" t="s">
        <v>283</v>
      </c>
      <c r="L30">
        <v>1368</v>
      </c>
      <c r="N30">
        <v>1011</v>
      </c>
      <c r="O30" t="s">
        <v>231</v>
      </c>
      <c r="P30" t="s">
        <v>231</v>
      </c>
      <c r="Q30">
        <v>1</v>
      </c>
      <c r="Y30">
        <v>25.25</v>
      </c>
      <c r="AA30">
        <v>0</v>
      </c>
      <c r="AB30">
        <v>125.7</v>
      </c>
      <c r="AC30">
        <v>13.5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25.25</v>
      </c>
      <c r="AV30">
        <v>0</v>
      </c>
      <c r="AW30">
        <v>2</v>
      </c>
      <c r="AX30">
        <v>27555766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ROW(Source!A37)</f>
        <v>37</v>
      </c>
      <c r="B31">
        <v>27555767</v>
      </c>
      <c r="C31">
        <v>27555763</v>
      </c>
      <c r="D31">
        <v>24451199</v>
      </c>
      <c r="E31">
        <v>1</v>
      </c>
      <c r="F31">
        <v>1</v>
      </c>
      <c r="G31">
        <v>1</v>
      </c>
      <c r="H31">
        <v>2</v>
      </c>
      <c r="I31" t="s">
        <v>284</v>
      </c>
      <c r="J31" t="s">
        <v>285</v>
      </c>
      <c r="K31" t="s">
        <v>286</v>
      </c>
      <c r="L31">
        <v>1368</v>
      </c>
      <c r="N31">
        <v>1011</v>
      </c>
      <c r="O31" t="s">
        <v>231</v>
      </c>
      <c r="P31" t="s">
        <v>231</v>
      </c>
      <c r="Q31">
        <v>1</v>
      </c>
      <c r="Y31">
        <v>7.84</v>
      </c>
      <c r="AA31">
        <v>0</v>
      </c>
      <c r="AB31">
        <v>80.01</v>
      </c>
      <c r="AC31">
        <v>14.4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7.84</v>
      </c>
      <c r="AV31">
        <v>0</v>
      </c>
      <c r="AW31">
        <v>2</v>
      </c>
      <c r="AX31">
        <v>27555767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ROW(Source!A37)</f>
        <v>37</v>
      </c>
      <c r="B32">
        <v>27555768</v>
      </c>
      <c r="C32">
        <v>27555763</v>
      </c>
      <c r="D32">
        <v>24471955</v>
      </c>
      <c r="E32">
        <v>1</v>
      </c>
      <c r="F32">
        <v>1</v>
      </c>
      <c r="G32">
        <v>1</v>
      </c>
      <c r="H32">
        <v>3</v>
      </c>
      <c r="I32" t="s">
        <v>287</v>
      </c>
      <c r="J32" t="s">
        <v>288</v>
      </c>
      <c r="K32" t="s">
        <v>289</v>
      </c>
      <c r="L32">
        <v>1339</v>
      </c>
      <c r="N32">
        <v>1007</v>
      </c>
      <c r="O32" t="s">
        <v>91</v>
      </c>
      <c r="P32" t="s">
        <v>91</v>
      </c>
      <c r="Q32">
        <v>1</v>
      </c>
      <c r="Y32">
        <v>0.04</v>
      </c>
      <c r="AA32">
        <v>108.4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0.04</v>
      </c>
      <c r="AV32">
        <v>0</v>
      </c>
      <c r="AW32">
        <v>2</v>
      </c>
      <c r="AX32">
        <v>27555768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ROW(Source!A39)</f>
        <v>39</v>
      </c>
      <c r="B33">
        <v>27555771</v>
      </c>
      <c r="C33">
        <v>27555770</v>
      </c>
      <c r="D33">
        <v>24506818</v>
      </c>
      <c r="E33">
        <v>1</v>
      </c>
      <c r="F33">
        <v>1</v>
      </c>
      <c r="G33">
        <v>1</v>
      </c>
      <c r="H33">
        <v>1</v>
      </c>
      <c r="I33" t="s">
        <v>290</v>
      </c>
      <c r="K33" t="s">
        <v>291</v>
      </c>
      <c r="L33">
        <v>1369</v>
      </c>
      <c r="N33">
        <v>1013</v>
      </c>
      <c r="O33" t="s">
        <v>225</v>
      </c>
      <c r="P33" t="s">
        <v>225</v>
      </c>
      <c r="Q33">
        <v>1</v>
      </c>
      <c r="Y33">
        <v>35.08</v>
      </c>
      <c r="AA33">
        <v>0</v>
      </c>
      <c r="AB33">
        <v>0</v>
      </c>
      <c r="AC33">
        <v>0</v>
      </c>
      <c r="AD33">
        <v>7.94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35.08</v>
      </c>
      <c r="AV33">
        <v>1</v>
      </c>
      <c r="AW33">
        <v>2</v>
      </c>
      <c r="AX33">
        <v>27555771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ROW(Source!A39)</f>
        <v>39</v>
      </c>
      <c r="B34">
        <v>27555772</v>
      </c>
      <c r="C34">
        <v>27555770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28</v>
      </c>
      <c r="K34" t="s">
        <v>226</v>
      </c>
      <c r="L34">
        <v>608254</v>
      </c>
      <c r="N34">
        <v>1013</v>
      </c>
      <c r="O34" t="s">
        <v>227</v>
      </c>
      <c r="P34" t="s">
        <v>227</v>
      </c>
      <c r="Q34">
        <v>1</v>
      </c>
      <c r="Y34">
        <v>0.07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0.07</v>
      </c>
      <c r="AV34">
        <v>2</v>
      </c>
      <c r="AW34">
        <v>2</v>
      </c>
      <c r="AX34">
        <v>27555772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ROW(Source!A39)</f>
        <v>39</v>
      </c>
      <c r="B35">
        <v>27555773</v>
      </c>
      <c r="C35">
        <v>27555770</v>
      </c>
      <c r="D35">
        <v>24450741</v>
      </c>
      <c r="E35">
        <v>1</v>
      </c>
      <c r="F35">
        <v>1</v>
      </c>
      <c r="G35">
        <v>1</v>
      </c>
      <c r="H35">
        <v>2</v>
      </c>
      <c r="I35" t="s">
        <v>292</v>
      </c>
      <c r="J35" t="s">
        <v>293</v>
      </c>
      <c r="K35" t="s">
        <v>294</v>
      </c>
      <c r="L35">
        <v>1368</v>
      </c>
      <c r="N35">
        <v>1011</v>
      </c>
      <c r="O35" t="s">
        <v>231</v>
      </c>
      <c r="P35" t="s">
        <v>231</v>
      </c>
      <c r="Q35">
        <v>1</v>
      </c>
      <c r="Y35">
        <v>0.07</v>
      </c>
      <c r="AA35">
        <v>0</v>
      </c>
      <c r="AB35">
        <v>74.61</v>
      </c>
      <c r="AC35">
        <v>13.5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0.07</v>
      </c>
      <c r="AV35">
        <v>0</v>
      </c>
      <c r="AW35">
        <v>2</v>
      </c>
      <c r="AX35">
        <v>27555773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ROW(Source!A39)</f>
        <v>39</v>
      </c>
      <c r="B36">
        <v>27555774</v>
      </c>
      <c r="C36">
        <v>27555770</v>
      </c>
      <c r="D36">
        <v>24451311</v>
      </c>
      <c r="E36">
        <v>1</v>
      </c>
      <c r="F36">
        <v>1</v>
      </c>
      <c r="G36">
        <v>1</v>
      </c>
      <c r="H36">
        <v>2</v>
      </c>
      <c r="I36" t="s">
        <v>295</v>
      </c>
      <c r="J36" t="s">
        <v>296</v>
      </c>
      <c r="K36" t="s">
        <v>297</v>
      </c>
      <c r="L36">
        <v>1368</v>
      </c>
      <c r="N36">
        <v>1011</v>
      </c>
      <c r="O36" t="s">
        <v>231</v>
      </c>
      <c r="P36" t="s">
        <v>231</v>
      </c>
      <c r="Q36">
        <v>1</v>
      </c>
      <c r="Y36">
        <v>0.14</v>
      </c>
      <c r="AA36">
        <v>0</v>
      </c>
      <c r="AB36">
        <v>9.62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0.14</v>
      </c>
      <c r="AV36">
        <v>0</v>
      </c>
      <c r="AW36">
        <v>2</v>
      </c>
      <c r="AX36">
        <v>27555774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ROW(Source!A39)</f>
        <v>39</v>
      </c>
      <c r="B37">
        <v>27555775</v>
      </c>
      <c r="C37">
        <v>27555770</v>
      </c>
      <c r="D37">
        <v>24471920</v>
      </c>
      <c r="E37">
        <v>1</v>
      </c>
      <c r="F37">
        <v>1</v>
      </c>
      <c r="G37">
        <v>1</v>
      </c>
      <c r="H37">
        <v>3</v>
      </c>
      <c r="I37" t="s">
        <v>89</v>
      </c>
      <c r="J37" t="s">
        <v>92</v>
      </c>
      <c r="K37" t="s">
        <v>90</v>
      </c>
      <c r="L37">
        <v>1339</v>
      </c>
      <c r="N37">
        <v>1007</v>
      </c>
      <c r="O37" t="s">
        <v>91</v>
      </c>
      <c r="P37" t="s">
        <v>91</v>
      </c>
      <c r="Q37">
        <v>1</v>
      </c>
      <c r="Y37">
        <v>-15</v>
      </c>
      <c r="AA37">
        <v>131.9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-15</v>
      </c>
      <c r="AV37">
        <v>0</v>
      </c>
      <c r="AW37">
        <v>2</v>
      </c>
      <c r="AX37">
        <v>27555775</v>
      </c>
      <c r="AY37">
        <v>2</v>
      </c>
      <c r="AZ37">
        <v>12288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ROW(Source!A39)</f>
        <v>39</v>
      </c>
      <c r="B38">
        <v>27555778</v>
      </c>
      <c r="C38">
        <v>27555770</v>
      </c>
      <c r="D38">
        <v>24471920</v>
      </c>
      <c r="E38">
        <v>1</v>
      </c>
      <c r="F38">
        <v>1</v>
      </c>
      <c r="G38">
        <v>1</v>
      </c>
      <c r="H38">
        <v>3</v>
      </c>
      <c r="I38" t="s">
        <v>89</v>
      </c>
      <c r="J38" t="s">
        <v>92</v>
      </c>
      <c r="K38" t="s">
        <v>90</v>
      </c>
      <c r="L38">
        <v>1339</v>
      </c>
      <c r="N38">
        <v>1007</v>
      </c>
      <c r="O38" t="s">
        <v>91</v>
      </c>
      <c r="P38" t="s">
        <v>91</v>
      </c>
      <c r="Q38">
        <v>1</v>
      </c>
      <c r="Y38">
        <v>5</v>
      </c>
      <c r="AA38">
        <v>131.9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5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ROW(Source!A39)</f>
        <v>39</v>
      </c>
      <c r="B39">
        <v>27555780</v>
      </c>
      <c r="C39">
        <v>27555770</v>
      </c>
      <c r="D39">
        <v>24472042</v>
      </c>
      <c r="E39">
        <v>1</v>
      </c>
      <c r="F39">
        <v>1</v>
      </c>
      <c r="G39">
        <v>1</v>
      </c>
      <c r="H39">
        <v>3</v>
      </c>
      <c r="I39" t="s">
        <v>95</v>
      </c>
      <c r="J39" t="s">
        <v>97</v>
      </c>
      <c r="K39" t="s">
        <v>96</v>
      </c>
      <c r="L39">
        <v>1339</v>
      </c>
      <c r="N39">
        <v>1007</v>
      </c>
      <c r="O39" t="s">
        <v>91</v>
      </c>
      <c r="P39" t="s">
        <v>91</v>
      </c>
      <c r="Q39">
        <v>1</v>
      </c>
      <c r="Y39">
        <v>5</v>
      </c>
      <c r="AA39">
        <v>55.26</v>
      </c>
      <c r="AB39">
        <v>0</v>
      </c>
      <c r="AC39">
        <v>0</v>
      </c>
      <c r="AD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T39">
        <v>5</v>
      </c>
      <c r="AV39">
        <v>0</v>
      </c>
      <c r="AW39">
        <v>1</v>
      </c>
      <c r="AX39">
        <v>-1</v>
      </c>
      <c r="AY39">
        <v>0</v>
      </c>
      <c r="AZ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ROW(Source!A64)</f>
        <v>64</v>
      </c>
      <c r="B40">
        <v>27555815</v>
      </c>
      <c r="C40">
        <v>27555814</v>
      </c>
      <c r="D40">
        <v>24505677</v>
      </c>
      <c r="E40">
        <v>1</v>
      </c>
      <c r="F40">
        <v>1</v>
      </c>
      <c r="G40">
        <v>1</v>
      </c>
      <c r="H40">
        <v>1</v>
      </c>
      <c r="I40" t="s">
        <v>232</v>
      </c>
      <c r="K40" t="s">
        <v>233</v>
      </c>
      <c r="L40">
        <v>1369</v>
      </c>
      <c r="N40">
        <v>1013</v>
      </c>
      <c r="O40" t="s">
        <v>225</v>
      </c>
      <c r="P40" t="s">
        <v>225</v>
      </c>
      <c r="Q40">
        <v>1</v>
      </c>
      <c r="Y40">
        <v>0.53</v>
      </c>
      <c r="AA40">
        <v>0</v>
      </c>
      <c r="AB40">
        <v>0</v>
      </c>
      <c r="AC40">
        <v>0</v>
      </c>
      <c r="AD40">
        <v>8.46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0.53</v>
      </c>
      <c r="AV40">
        <v>1</v>
      </c>
      <c r="AW40">
        <v>2</v>
      </c>
      <c r="AX40">
        <v>27555817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ROW(Source!A64)</f>
        <v>64</v>
      </c>
      <c r="B41">
        <v>27555816</v>
      </c>
      <c r="C41">
        <v>27555814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226</v>
      </c>
      <c r="L41">
        <v>608254</v>
      </c>
      <c r="N41">
        <v>1013</v>
      </c>
      <c r="O41" t="s">
        <v>227</v>
      </c>
      <c r="P41" t="s">
        <v>227</v>
      </c>
      <c r="Q41">
        <v>1</v>
      </c>
      <c r="Y41">
        <v>0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</v>
      </c>
      <c r="AV41">
        <v>2</v>
      </c>
      <c r="AW41">
        <v>2</v>
      </c>
      <c r="AX41">
        <v>27555818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ROW(Source!A65)</f>
        <v>65</v>
      </c>
      <c r="B42">
        <v>27555820</v>
      </c>
      <c r="C42">
        <v>27555819</v>
      </c>
      <c r="D42">
        <v>24504205</v>
      </c>
      <c r="E42">
        <v>1</v>
      </c>
      <c r="F42">
        <v>1</v>
      </c>
      <c r="G42">
        <v>1</v>
      </c>
      <c r="H42">
        <v>1</v>
      </c>
      <c r="I42" t="s">
        <v>237</v>
      </c>
      <c r="K42" t="s">
        <v>238</v>
      </c>
      <c r="L42">
        <v>1369</v>
      </c>
      <c r="N42">
        <v>1013</v>
      </c>
      <c r="O42" t="s">
        <v>225</v>
      </c>
      <c r="P42" t="s">
        <v>225</v>
      </c>
      <c r="Q42">
        <v>1</v>
      </c>
      <c r="Y42">
        <v>0.25</v>
      </c>
      <c r="AA42">
        <v>0</v>
      </c>
      <c r="AB42">
        <v>0</v>
      </c>
      <c r="AC42">
        <v>0</v>
      </c>
      <c r="AD42">
        <v>7.68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0.25</v>
      </c>
      <c r="AV42">
        <v>1</v>
      </c>
      <c r="AW42">
        <v>2</v>
      </c>
      <c r="AX42">
        <v>27555822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ROW(Source!A65)</f>
        <v>65</v>
      </c>
      <c r="B43">
        <v>27555821</v>
      </c>
      <c r="C43">
        <v>27555819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28</v>
      </c>
      <c r="K43" t="s">
        <v>226</v>
      </c>
      <c r="L43">
        <v>608254</v>
      </c>
      <c r="N43">
        <v>1013</v>
      </c>
      <c r="O43" t="s">
        <v>227</v>
      </c>
      <c r="P43" t="s">
        <v>227</v>
      </c>
      <c r="Q43">
        <v>1</v>
      </c>
      <c r="Y43">
        <v>0</v>
      </c>
      <c r="AA43">
        <v>0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</v>
      </c>
      <c r="AV43">
        <v>2</v>
      </c>
      <c r="AW43">
        <v>2</v>
      </c>
      <c r="AX43">
        <v>27555823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ROW(Source!A66)</f>
        <v>66</v>
      </c>
      <c r="B44">
        <v>27555825</v>
      </c>
      <c r="C44">
        <v>27555824</v>
      </c>
      <c r="D44">
        <v>24508406</v>
      </c>
      <c r="E44">
        <v>1</v>
      </c>
      <c r="F44">
        <v>1</v>
      </c>
      <c r="G44">
        <v>1</v>
      </c>
      <c r="H44">
        <v>1</v>
      </c>
      <c r="I44" t="s">
        <v>239</v>
      </c>
      <c r="K44" t="s">
        <v>240</v>
      </c>
      <c r="L44">
        <v>1369</v>
      </c>
      <c r="N44">
        <v>1013</v>
      </c>
      <c r="O44" t="s">
        <v>225</v>
      </c>
      <c r="P44" t="s">
        <v>225</v>
      </c>
      <c r="Q44">
        <v>1</v>
      </c>
      <c r="Y44">
        <v>301.385</v>
      </c>
      <c r="AA44">
        <v>0</v>
      </c>
      <c r="AB44">
        <v>0</v>
      </c>
      <c r="AC44">
        <v>0</v>
      </c>
      <c r="AD44">
        <v>9.18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430.55</v>
      </c>
      <c r="AU44" t="s">
        <v>57</v>
      </c>
      <c r="AV44">
        <v>1</v>
      </c>
      <c r="AW44">
        <v>2</v>
      </c>
      <c r="AX44">
        <v>27555837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ROW(Source!A66)</f>
        <v>66</v>
      </c>
      <c r="B45">
        <v>27555826</v>
      </c>
      <c r="C45">
        <v>27555824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28</v>
      </c>
      <c r="K45" t="s">
        <v>226</v>
      </c>
      <c r="L45">
        <v>608254</v>
      </c>
      <c r="N45">
        <v>1013</v>
      </c>
      <c r="O45" t="s">
        <v>227</v>
      </c>
      <c r="P45" t="s">
        <v>227</v>
      </c>
      <c r="Q45">
        <v>1</v>
      </c>
      <c r="Y45">
        <v>72.044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102.92</v>
      </c>
      <c r="AU45" t="s">
        <v>57</v>
      </c>
      <c r="AV45">
        <v>2</v>
      </c>
      <c r="AW45">
        <v>2</v>
      </c>
      <c r="AX45">
        <v>27555838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ROW(Source!A66)</f>
        <v>66</v>
      </c>
      <c r="B46">
        <v>27555827</v>
      </c>
      <c r="C46">
        <v>27555824</v>
      </c>
      <c r="D46">
        <v>24450839</v>
      </c>
      <c r="E46">
        <v>1</v>
      </c>
      <c r="F46">
        <v>1</v>
      </c>
      <c r="G46">
        <v>1</v>
      </c>
      <c r="H46">
        <v>2</v>
      </c>
      <c r="I46" t="s">
        <v>241</v>
      </c>
      <c r="J46" t="s">
        <v>242</v>
      </c>
      <c r="K46" t="s">
        <v>243</v>
      </c>
      <c r="L46">
        <v>1368</v>
      </c>
      <c r="N46">
        <v>1011</v>
      </c>
      <c r="O46" t="s">
        <v>231</v>
      </c>
      <c r="P46" t="s">
        <v>231</v>
      </c>
      <c r="Q46">
        <v>1</v>
      </c>
      <c r="Y46">
        <v>68.803</v>
      </c>
      <c r="AA46">
        <v>0</v>
      </c>
      <c r="AB46">
        <v>112</v>
      </c>
      <c r="AC46">
        <v>13.5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98.29</v>
      </c>
      <c r="AU46" t="s">
        <v>57</v>
      </c>
      <c r="AV46">
        <v>0</v>
      </c>
      <c r="AW46">
        <v>2</v>
      </c>
      <c r="AX46">
        <v>27555839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ROW(Source!A66)</f>
        <v>66</v>
      </c>
      <c r="B47">
        <v>27555828</v>
      </c>
      <c r="C47">
        <v>27555824</v>
      </c>
      <c r="D47">
        <v>24450908</v>
      </c>
      <c r="E47">
        <v>1</v>
      </c>
      <c r="F47">
        <v>1</v>
      </c>
      <c r="G47">
        <v>1</v>
      </c>
      <c r="H47">
        <v>2</v>
      </c>
      <c r="I47" t="s">
        <v>244</v>
      </c>
      <c r="J47" t="s">
        <v>245</v>
      </c>
      <c r="K47" t="s">
        <v>246</v>
      </c>
      <c r="L47">
        <v>1368</v>
      </c>
      <c r="N47">
        <v>1011</v>
      </c>
      <c r="O47" t="s">
        <v>231</v>
      </c>
      <c r="P47" t="s">
        <v>231</v>
      </c>
      <c r="Q47">
        <v>1</v>
      </c>
      <c r="Y47">
        <v>0.23099999999999998</v>
      </c>
      <c r="AA47">
        <v>0</v>
      </c>
      <c r="AB47">
        <v>99.89</v>
      </c>
      <c r="AC47">
        <v>10.06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0.33</v>
      </c>
      <c r="AU47" t="s">
        <v>57</v>
      </c>
      <c r="AV47">
        <v>0</v>
      </c>
      <c r="AW47">
        <v>2</v>
      </c>
      <c r="AX47">
        <v>27555840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ROW(Source!A66)</f>
        <v>66</v>
      </c>
      <c r="B48">
        <v>27555829</v>
      </c>
      <c r="C48">
        <v>27555824</v>
      </c>
      <c r="D48">
        <v>24451039</v>
      </c>
      <c r="E48">
        <v>1</v>
      </c>
      <c r="F48">
        <v>1</v>
      </c>
      <c r="G48">
        <v>1</v>
      </c>
      <c r="H48">
        <v>2</v>
      </c>
      <c r="I48" t="s">
        <v>247</v>
      </c>
      <c r="J48" t="s">
        <v>248</v>
      </c>
      <c r="K48" t="s">
        <v>249</v>
      </c>
      <c r="L48">
        <v>1368</v>
      </c>
      <c r="N48">
        <v>1011</v>
      </c>
      <c r="O48" t="s">
        <v>231</v>
      </c>
      <c r="P48" t="s">
        <v>231</v>
      </c>
      <c r="Q48">
        <v>1</v>
      </c>
      <c r="Y48">
        <v>11.445</v>
      </c>
      <c r="AA48">
        <v>0</v>
      </c>
      <c r="AB48">
        <v>8.1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16.35</v>
      </c>
      <c r="AU48" t="s">
        <v>57</v>
      </c>
      <c r="AV48">
        <v>0</v>
      </c>
      <c r="AW48">
        <v>2</v>
      </c>
      <c r="AX48">
        <v>27555841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ROW(Source!A66)</f>
        <v>66</v>
      </c>
      <c r="B49">
        <v>27555830</v>
      </c>
      <c r="C49">
        <v>27555824</v>
      </c>
      <c r="D49">
        <v>24451149</v>
      </c>
      <c r="E49">
        <v>1</v>
      </c>
      <c r="F49">
        <v>1</v>
      </c>
      <c r="G49">
        <v>1</v>
      </c>
      <c r="H49">
        <v>2</v>
      </c>
      <c r="I49" t="s">
        <v>250</v>
      </c>
      <c r="J49" t="s">
        <v>251</v>
      </c>
      <c r="K49" t="s">
        <v>252</v>
      </c>
      <c r="L49">
        <v>1368</v>
      </c>
      <c r="N49">
        <v>1011</v>
      </c>
      <c r="O49" t="s">
        <v>231</v>
      </c>
      <c r="P49" t="s">
        <v>231</v>
      </c>
      <c r="Q49">
        <v>1</v>
      </c>
      <c r="Y49">
        <v>3.01</v>
      </c>
      <c r="AA49">
        <v>0</v>
      </c>
      <c r="AB49">
        <v>70.01</v>
      </c>
      <c r="AC49">
        <v>11.6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4.3</v>
      </c>
      <c r="AU49" t="s">
        <v>57</v>
      </c>
      <c r="AV49">
        <v>0</v>
      </c>
      <c r="AW49">
        <v>2</v>
      </c>
      <c r="AX49">
        <v>27555842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ROW(Source!A66)</f>
        <v>66</v>
      </c>
      <c r="B50">
        <v>27555831</v>
      </c>
      <c r="C50">
        <v>27555824</v>
      </c>
      <c r="D50">
        <v>24452575</v>
      </c>
      <c r="E50">
        <v>1</v>
      </c>
      <c r="F50">
        <v>1</v>
      </c>
      <c r="G50">
        <v>1</v>
      </c>
      <c r="H50">
        <v>2</v>
      </c>
      <c r="I50" t="s">
        <v>253</v>
      </c>
      <c r="J50" t="s">
        <v>254</v>
      </c>
      <c r="K50" t="s">
        <v>255</v>
      </c>
      <c r="L50">
        <v>1368</v>
      </c>
      <c r="N50">
        <v>1011</v>
      </c>
      <c r="O50" t="s">
        <v>231</v>
      </c>
      <c r="P50" t="s">
        <v>231</v>
      </c>
      <c r="Q50">
        <v>1</v>
      </c>
      <c r="Y50">
        <v>5.005</v>
      </c>
      <c r="AA50">
        <v>0</v>
      </c>
      <c r="AB50">
        <v>87.17</v>
      </c>
      <c r="AC50">
        <v>11.6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7.15</v>
      </c>
      <c r="AU50" t="s">
        <v>57</v>
      </c>
      <c r="AV50">
        <v>0</v>
      </c>
      <c r="AW50">
        <v>2</v>
      </c>
      <c r="AX50">
        <v>27555843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ROW(Source!A66)</f>
        <v>66</v>
      </c>
      <c r="B51">
        <v>27555832</v>
      </c>
      <c r="C51">
        <v>27555824</v>
      </c>
      <c r="D51">
        <v>24454189</v>
      </c>
      <c r="E51">
        <v>1</v>
      </c>
      <c r="F51">
        <v>1</v>
      </c>
      <c r="G51">
        <v>1</v>
      </c>
      <c r="H51">
        <v>3</v>
      </c>
      <c r="I51" t="s">
        <v>256</v>
      </c>
      <c r="J51" t="s">
        <v>257</v>
      </c>
      <c r="K51" t="s">
        <v>258</v>
      </c>
      <c r="L51">
        <v>1348</v>
      </c>
      <c r="N51">
        <v>1009</v>
      </c>
      <c r="O51" t="s">
        <v>39</v>
      </c>
      <c r="P51" t="s">
        <v>39</v>
      </c>
      <c r="Q51">
        <v>1000</v>
      </c>
      <c r="Y51">
        <v>0</v>
      </c>
      <c r="AA51">
        <v>412.01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1.02</v>
      </c>
      <c r="AU51" t="s">
        <v>56</v>
      </c>
      <c r="AV51">
        <v>0</v>
      </c>
      <c r="AW51">
        <v>2</v>
      </c>
      <c r="AX51">
        <v>27555844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ROW(Source!A66)</f>
        <v>66</v>
      </c>
      <c r="B52">
        <v>27555833</v>
      </c>
      <c r="C52">
        <v>27555824</v>
      </c>
      <c r="D52">
        <v>24454280</v>
      </c>
      <c r="E52">
        <v>1</v>
      </c>
      <c r="F52">
        <v>1</v>
      </c>
      <c r="G52">
        <v>1</v>
      </c>
      <c r="H52">
        <v>3</v>
      </c>
      <c r="I52" t="s">
        <v>259</v>
      </c>
      <c r="J52" t="s">
        <v>260</v>
      </c>
      <c r="K52" t="s">
        <v>261</v>
      </c>
      <c r="L52">
        <v>1348</v>
      </c>
      <c r="N52">
        <v>1009</v>
      </c>
      <c r="O52" t="s">
        <v>39</v>
      </c>
      <c r="P52" t="s">
        <v>39</v>
      </c>
      <c r="Q52">
        <v>1000</v>
      </c>
      <c r="Y52">
        <v>0</v>
      </c>
      <c r="AA52">
        <v>9423.99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0.03</v>
      </c>
      <c r="AU52" t="s">
        <v>56</v>
      </c>
      <c r="AV52">
        <v>0</v>
      </c>
      <c r="AW52">
        <v>2</v>
      </c>
      <c r="AX52">
        <v>27555845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ROW(Source!A66)</f>
        <v>66</v>
      </c>
      <c r="B53">
        <v>27555834</v>
      </c>
      <c r="C53">
        <v>27555824</v>
      </c>
      <c r="D53">
        <v>24471559</v>
      </c>
      <c r="E53">
        <v>1</v>
      </c>
      <c r="F53">
        <v>1</v>
      </c>
      <c r="G53">
        <v>1</v>
      </c>
      <c r="H53">
        <v>3</v>
      </c>
      <c r="I53" t="s">
        <v>262</v>
      </c>
      <c r="J53" t="s">
        <v>263</v>
      </c>
      <c r="K53" t="s">
        <v>264</v>
      </c>
      <c r="L53">
        <v>1354</v>
      </c>
      <c r="N53">
        <v>1010</v>
      </c>
      <c r="O53" t="s">
        <v>20</v>
      </c>
      <c r="P53" t="s">
        <v>20</v>
      </c>
      <c r="Q53">
        <v>1</v>
      </c>
      <c r="Y53">
        <v>0</v>
      </c>
      <c r="AA53">
        <v>0</v>
      </c>
      <c r="AB53">
        <v>0</v>
      </c>
      <c r="AC53">
        <v>0</v>
      </c>
      <c r="AD53">
        <v>0</v>
      </c>
      <c r="AN53">
        <v>1</v>
      </c>
      <c r="AO53">
        <v>0</v>
      </c>
      <c r="AP53">
        <v>1</v>
      </c>
      <c r="AQ53">
        <v>0</v>
      </c>
      <c r="AR53">
        <v>0</v>
      </c>
      <c r="AT53">
        <v>100</v>
      </c>
      <c r="AU53" t="s">
        <v>56</v>
      </c>
      <c r="AV53">
        <v>0</v>
      </c>
      <c r="AW53">
        <v>2</v>
      </c>
      <c r="AX53">
        <v>27555846</v>
      </c>
      <c r="AY53">
        <v>1</v>
      </c>
      <c r="AZ53">
        <v>0</v>
      </c>
      <c r="BA53">
        <v>51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ROW(Source!A66)</f>
        <v>66</v>
      </c>
      <c r="B54">
        <v>27555835</v>
      </c>
      <c r="C54">
        <v>27555824</v>
      </c>
      <c r="D54">
        <v>24471969</v>
      </c>
      <c r="E54">
        <v>1</v>
      </c>
      <c r="F54">
        <v>1</v>
      </c>
      <c r="G54">
        <v>1</v>
      </c>
      <c r="H54">
        <v>3</v>
      </c>
      <c r="I54" t="s">
        <v>265</v>
      </c>
      <c r="J54" t="s">
        <v>266</v>
      </c>
      <c r="K54" t="s">
        <v>267</v>
      </c>
      <c r="L54">
        <v>1339</v>
      </c>
      <c r="N54">
        <v>1007</v>
      </c>
      <c r="O54" t="s">
        <v>91</v>
      </c>
      <c r="P54" t="s">
        <v>91</v>
      </c>
      <c r="Q54">
        <v>1</v>
      </c>
      <c r="Y54">
        <v>0</v>
      </c>
      <c r="AA54">
        <v>137.61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3</v>
      </c>
      <c r="AU54" t="s">
        <v>56</v>
      </c>
      <c r="AV54">
        <v>0</v>
      </c>
      <c r="AW54">
        <v>2</v>
      </c>
      <c r="AX54">
        <v>27555847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ROW(Source!A66)</f>
        <v>66</v>
      </c>
      <c r="B55">
        <v>27555836</v>
      </c>
      <c r="C55">
        <v>27555824</v>
      </c>
      <c r="D55">
        <v>24472293</v>
      </c>
      <c r="E55">
        <v>1</v>
      </c>
      <c r="F55">
        <v>1</v>
      </c>
      <c r="G55">
        <v>1</v>
      </c>
      <c r="H55">
        <v>3</v>
      </c>
      <c r="I55" t="s">
        <v>268</v>
      </c>
      <c r="J55" t="s">
        <v>269</v>
      </c>
      <c r="K55" t="s">
        <v>270</v>
      </c>
      <c r="L55">
        <v>1339</v>
      </c>
      <c r="N55">
        <v>1007</v>
      </c>
      <c r="O55" t="s">
        <v>91</v>
      </c>
      <c r="P55" t="s">
        <v>91</v>
      </c>
      <c r="Q55">
        <v>1</v>
      </c>
      <c r="Y55">
        <v>0</v>
      </c>
      <c r="AA55">
        <v>2.44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0.79</v>
      </c>
      <c r="AU55" t="s">
        <v>56</v>
      </c>
      <c r="AV55">
        <v>0</v>
      </c>
      <c r="AW55">
        <v>2</v>
      </c>
      <c r="AX55">
        <v>27555848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ROW(Source!A67)</f>
        <v>67</v>
      </c>
      <c r="B56">
        <v>27555850</v>
      </c>
      <c r="C56">
        <v>27555849</v>
      </c>
      <c r="D56">
        <v>24502559</v>
      </c>
      <c r="E56">
        <v>1</v>
      </c>
      <c r="F56">
        <v>1</v>
      </c>
      <c r="G56">
        <v>1</v>
      </c>
      <c r="H56">
        <v>1</v>
      </c>
      <c r="I56" t="s">
        <v>271</v>
      </c>
      <c r="K56" t="s">
        <v>272</v>
      </c>
      <c r="L56">
        <v>1369</v>
      </c>
      <c r="N56">
        <v>1013</v>
      </c>
      <c r="O56" t="s">
        <v>225</v>
      </c>
      <c r="P56" t="s">
        <v>225</v>
      </c>
      <c r="Q56">
        <v>1</v>
      </c>
      <c r="Y56">
        <v>0.98</v>
      </c>
      <c r="AA56">
        <v>0</v>
      </c>
      <c r="AB56">
        <v>0</v>
      </c>
      <c r="AC56">
        <v>0</v>
      </c>
      <c r="AD56">
        <v>7.87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0.98</v>
      </c>
      <c r="AV56">
        <v>1</v>
      </c>
      <c r="AW56">
        <v>2</v>
      </c>
      <c r="AX56">
        <v>27555853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ROW(Source!A67)</f>
        <v>67</v>
      </c>
      <c r="B57">
        <v>27555851</v>
      </c>
      <c r="C57">
        <v>27555849</v>
      </c>
      <c r="D57">
        <v>121548</v>
      </c>
      <c r="E57">
        <v>1</v>
      </c>
      <c r="F57">
        <v>1</v>
      </c>
      <c r="G57">
        <v>1</v>
      </c>
      <c r="H57">
        <v>1</v>
      </c>
      <c r="I57" t="s">
        <v>28</v>
      </c>
      <c r="K57" t="s">
        <v>226</v>
      </c>
      <c r="L57">
        <v>608254</v>
      </c>
      <c r="N57">
        <v>1013</v>
      </c>
      <c r="O57" t="s">
        <v>227</v>
      </c>
      <c r="P57" t="s">
        <v>227</v>
      </c>
      <c r="Q57">
        <v>1</v>
      </c>
      <c r="Y57">
        <v>0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</v>
      </c>
      <c r="AV57">
        <v>2</v>
      </c>
      <c r="AW57">
        <v>2</v>
      </c>
      <c r="AX57">
        <v>27555854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ROW(Source!A67)</f>
        <v>67</v>
      </c>
      <c r="B58">
        <v>27555852</v>
      </c>
      <c r="C58">
        <v>27555849</v>
      </c>
      <c r="D58">
        <v>24451308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231</v>
      </c>
      <c r="P58" t="s">
        <v>231</v>
      </c>
      <c r="Q58">
        <v>1</v>
      </c>
      <c r="Y58">
        <v>0.75</v>
      </c>
      <c r="AA58">
        <v>0</v>
      </c>
      <c r="AB58">
        <v>16.5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0.75</v>
      </c>
      <c r="AV58">
        <v>0</v>
      </c>
      <c r="AW58">
        <v>2</v>
      </c>
      <c r="AX58">
        <v>27555855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ROW(Source!A70)</f>
        <v>70</v>
      </c>
      <c r="B59">
        <v>27555860</v>
      </c>
      <c r="C59">
        <v>27555859</v>
      </c>
      <c r="D59">
        <v>24506818</v>
      </c>
      <c r="E59">
        <v>1</v>
      </c>
      <c r="F59">
        <v>1</v>
      </c>
      <c r="G59">
        <v>1</v>
      </c>
      <c r="H59">
        <v>1</v>
      </c>
      <c r="I59" t="s">
        <v>290</v>
      </c>
      <c r="K59" t="s">
        <v>291</v>
      </c>
      <c r="L59">
        <v>1369</v>
      </c>
      <c r="N59">
        <v>1013</v>
      </c>
      <c r="O59" t="s">
        <v>225</v>
      </c>
      <c r="P59" t="s">
        <v>225</v>
      </c>
      <c r="Q59">
        <v>1</v>
      </c>
      <c r="Y59">
        <v>35.08</v>
      </c>
      <c r="AA59">
        <v>0</v>
      </c>
      <c r="AB59">
        <v>0</v>
      </c>
      <c r="AC59">
        <v>0</v>
      </c>
      <c r="AD59">
        <v>7.94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35.08</v>
      </c>
      <c r="AV59">
        <v>1</v>
      </c>
      <c r="AW59">
        <v>2</v>
      </c>
      <c r="AX59">
        <v>27555864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ROW(Source!A70)</f>
        <v>70</v>
      </c>
      <c r="B60">
        <v>27555861</v>
      </c>
      <c r="C60">
        <v>27555859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28</v>
      </c>
      <c r="K60" t="s">
        <v>226</v>
      </c>
      <c r="L60">
        <v>608254</v>
      </c>
      <c r="N60">
        <v>1013</v>
      </c>
      <c r="O60" t="s">
        <v>227</v>
      </c>
      <c r="P60" t="s">
        <v>227</v>
      </c>
      <c r="Q60">
        <v>1</v>
      </c>
      <c r="Y60">
        <v>0.07</v>
      </c>
      <c r="AA60">
        <v>0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0.07</v>
      </c>
      <c r="AV60">
        <v>2</v>
      </c>
      <c r="AW60">
        <v>2</v>
      </c>
      <c r="AX60">
        <v>27555865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ROW(Source!A70)</f>
        <v>70</v>
      </c>
      <c r="B61">
        <v>27555862</v>
      </c>
      <c r="C61">
        <v>27555859</v>
      </c>
      <c r="D61">
        <v>24450741</v>
      </c>
      <c r="E61">
        <v>1</v>
      </c>
      <c r="F61">
        <v>1</v>
      </c>
      <c r="G61">
        <v>1</v>
      </c>
      <c r="H61">
        <v>2</v>
      </c>
      <c r="I61" t="s">
        <v>292</v>
      </c>
      <c r="J61" t="s">
        <v>293</v>
      </c>
      <c r="K61" t="s">
        <v>294</v>
      </c>
      <c r="L61">
        <v>1368</v>
      </c>
      <c r="N61">
        <v>1011</v>
      </c>
      <c r="O61" t="s">
        <v>231</v>
      </c>
      <c r="P61" t="s">
        <v>231</v>
      </c>
      <c r="Q61">
        <v>1</v>
      </c>
      <c r="Y61">
        <v>0.07</v>
      </c>
      <c r="AA61">
        <v>0</v>
      </c>
      <c r="AB61">
        <v>74.61</v>
      </c>
      <c r="AC61">
        <v>13.5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0.07</v>
      </c>
      <c r="AV61">
        <v>0</v>
      </c>
      <c r="AW61">
        <v>2</v>
      </c>
      <c r="AX61">
        <v>27555866</v>
      </c>
      <c r="AY61">
        <v>1</v>
      </c>
      <c r="AZ61">
        <v>0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ROW(Source!A70)</f>
        <v>70</v>
      </c>
      <c r="B62">
        <v>27555863</v>
      </c>
      <c r="C62">
        <v>27555859</v>
      </c>
      <c r="D62">
        <v>24451311</v>
      </c>
      <c r="E62">
        <v>1</v>
      </c>
      <c r="F62">
        <v>1</v>
      </c>
      <c r="G62">
        <v>1</v>
      </c>
      <c r="H62">
        <v>2</v>
      </c>
      <c r="I62" t="s">
        <v>295</v>
      </c>
      <c r="J62" t="s">
        <v>296</v>
      </c>
      <c r="K62" t="s">
        <v>297</v>
      </c>
      <c r="L62">
        <v>1368</v>
      </c>
      <c r="N62">
        <v>1011</v>
      </c>
      <c r="O62" t="s">
        <v>231</v>
      </c>
      <c r="P62" t="s">
        <v>231</v>
      </c>
      <c r="Q62">
        <v>1</v>
      </c>
      <c r="Y62">
        <v>0.14</v>
      </c>
      <c r="AA62">
        <v>0</v>
      </c>
      <c r="AB62">
        <v>9.62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0.14</v>
      </c>
      <c r="AV62">
        <v>0</v>
      </c>
      <c r="AW62">
        <v>2</v>
      </c>
      <c r="AX62">
        <v>27555867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ROW(Source!A70)</f>
        <v>70</v>
      </c>
      <c r="B63">
        <v>27555870</v>
      </c>
      <c r="C63">
        <v>27555859</v>
      </c>
      <c r="D63">
        <v>24471920</v>
      </c>
      <c r="E63">
        <v>1</v>
      </c>
      <c r="F63">
        <v>1</v>
      </c>
      <c r="G63">
        <v>1</v>
      </c>
      <c r="H63">
        <v>3</v>
      </c>
      <c r="I63" t="s">
        <v>89</v>
      </c>
      <c r="J63" t="s">
        <v>92</v>
      </c>
      <c r="K63" t="s">
        <v>90</v>
      </c>
      <c r="L63">
        <v>1339</v>
      </c>
      <c r="N63">
        <v>1007</v>
      </c>
      <c r="O63" t="s">
        <v>91</v>
      </c>
      <c r="P63" t="s">
        <v>91</v>
      </c>
      <c r="Q63">
        <v>1</v>
      </c>
      <c r="Y63">
        <v>-15</v>
      </c>
      <c r="AA63">
        <v>131.9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-15</v>
      </c>
      <c r="AV63">
        <v>0</v>
      </c>
      <c r="AW63">
        <v>2</v>
      </c>
      <c r="AX63">
        <v>27555868</v>
      </c>
      <c r="AY63">
        <v>2</v>
      </c>
      <c r="AZ63">
        <v>12288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ROW(Source!A70)</f>
        <v>70</v>
      </c>
      <c r="B64">
        <v>27555872</v>
      </c>
      <c r="C64">
        <v>27555859</v>
      </c>
      <c r="D64">
        <v>24471920</v>
      </c>
      <c r="E64">
        <v>1</v>
      </c>
      <c r="F64">
        <v>1</v>
      </c>
      <c r="G64">
        <v>1</v>
      </c>
      <c r="H64">
        <v>3</v>
      </c>
      <c r="I64" t="s">
        <v>89</v>
      </c>
      <c r="J64" t="s">
        <v>92</v>
      </c>
      <c r="K64" t="s">
        <v>90</v>
      </c>
      <c r="L64">
        <v>1339</v>
      </c>
      <c r="N64">
        <v>1007</v>
      </c>
      <c r="O64" t="s">
        <v>91</v>
      </c>
      <c r="P64" t="s">
        <v>91</v>
      </c>
      <c r="Q64">
        <v>1</v>
      </c>
      <c r="Y64">
        <v>5</v>
      </c>
      <c r="AA64">
        <v>131.9</v>
      </c>
      <c r="AB64">
        <v>0</v>
      </c>
      <c r="AC64">
        <v>0</v>
      </c>
      <c r="AD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T64">
        <v>5</v>
      </c>
      <c r="AV64">
        <v>0</v>
      </c>
      <c r="AW64">
        <v>1</v>
      </c>
      <c r="AX64">
        <v>-1</v>
      </c>
      <c r="AY64">
        <v>0</v>
      </c>
      <c r="AZ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ROW(Source!A70)</f>
        <v>70</v>
      </c>
      <c r="B65">
        <v>27555874</v>
      </c>
      <c r="C65">
        <v>27555859</v>
      </c>
      <c r="D65">
        <v>24472042</v>
      </c>
      <c r="E65">
        <v>1</v>
      </c>
      <c r="F65">
        <v>1</v>
      </c>
      <c r="G65">
        <v>1</v>
      </c>
      <c r="H65">
        <v>3</v>
      </c>
      <c r="I65" t="s">
        <v>95</v>
      </c>
      <c r="J65" t="s">
        <v>97</v>
      </c>
      <c r="K65" t="s">
        <v>96</v>
      </c>
      <c r="L65">
        <v>1339</v>
      </c>
      <c r="N65">
        <v>1007</v>
      </c>
      <c r="O65" t="s">
        <v>91</v>
      </c>
      <c r="P65" t="s">
        <v>91</v>
      </c>
      <c r="Q65">
        <v>1</v>
      </c>
      <c r="Y65">
        <v>5</v>
      </c>
      <c r="AA65">
        <v>55.26</v>
      </c>
      <c r="AB65">
        <v>0</v>
      </c>
      <c r="AC65">
        <v>0</v>
      </c>
      <c r="AD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5</v>
      </c>
      <c r="AV65">
        <v>0</v>
      </c>
      <c r="AW65">
        <v>1</v>
      </c>
      <c r="AX65">
        <v>-1</v>
      </c>
      <c r="AY65">
        <v>0</v>
      </c>
      <c r="AZ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ROW(Source!A95)</f>
        <v>95</v>
      </c>
      <c r="B66">
        <v>27555908</v>
      </c>
      <c r="C66">
        <v>27555907</v>
      </c>
      <c r="D66">
        <v>24505677</v>
      </c>
      <c r="E66">
        <v>1</v>
      </c>
      <c r="F66">
        <v>1</v>
      </c>
      <c r="G66">
        <v>1</v>
      </c>
      <c r="H66">
        <v>1</v>
      </c>
      <c r="I66" t="s">
        <v>232</v>
      </c>
      <c r="K66" t="s">
        <v>233</v>
      </c>
      <c r="L66">
        <v>1369</v>
      </c>
      <c r="N66">
        <v>1013</v>
      </c>
      <c r="O66" t="s">
        <v>225</v>
      </c>
      <c r="P66" t="s">
        <v>225</v>
      </c>
      <c r="Q66">
        <v>1</v>
      </c>
      <c r="Y66">
        <v>2.07</v>
      </c>
      <c r="AA66">
        <v>0</v>
      </c>
      <c r="AB66">
        <v>0</v>
      </c>
      <c r="AC66">
        <v>0</v>
      </c>
      <c r="AD66">
        <v>8.46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2.07</v>
      </c>
      <c r="AV66">
        <v>1</v>
      </c>
      <c r="AW66">
        <v>2</v>
      </c>
      <c r="AX66">
        <v>27555911</v>
      </c>
      <c r="AY66">
        <v>1</v>
      </c>
      <c r="AZ66">
        <v>0</v>
      </c>
      <c r="BA66">
        <v>62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ROW(Source!A95)</f>
        <v>95</v>
      </c>
      <c r="B67">
        <v>27555909</v>
      </c>
      <c r="C67">
        <v>27555907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28</v>
      </c>
      <c r="K67" t="s">
        <v>226</v>
      </c>
      <c r="L67">
        <v>608254</v>
      </c>
      <c r="N67">
        <v>1013</v>
      </c>
      <c r="O67" t="s">
        <v>227</v>
      </c>
      <c r="P67" t="s">
        <v>227</v>
      </c>
      <c r="Q67">
        <v>1</v>
      </c>
      <c r="Y67">
        <v>1.86</v>
      </c>
      <c r="AA67">
        <v>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1.86</v>
      </c>
      <c r="AV67">
        <v>2</v>
      </c>
      <c r="AW67">
        <v>2</v>
      </c>
      <c r="AX67">
        <v>27555912</v>
      </c>
      <c r="AY67">
        <v>1</v>
      </c>
      <c r="AZ67">
        <v>0</v>
      </c>
      <c r="BA67">
        <v>63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ROW(Source!A95)</f>
        <v>95</v>
      </c>
      <c r="B68">
        <v>27555910</v>
      </c>
      <c r="C68">
        <v>27555907</v>
      </c>
      <c r="D68">
        <v>24450975</v>
      </c>
      <c r="E68">
        <v>1</v>
      </c>
      <c r="F68">
        <v>1</v>
      </c>
      <c r="G68">
        <v>1</v>
      </c>
      <c r="H68">
        <v>2</v>
      </c>
      <c r="I68" t="s">
        <v>234</v>
      </c>
      <c r="J68" t="s">
        <v>235</v>
      </c>
      <c r="K68" t="s">
        <v>236</v>
      </c>
      <c r="L68">
        <v>1368</v>
      </c>
      <c r="N68">
        <v>1011</v>
      </c>
      <c r="O68" t="s">
        <v>231</v>
      </c>
      <c r="P68" t="s">
        <v>231</v>
      </c>
      <c r="Q68">
        <v>1</v>
      </c>
      <c r="Y68">
        <v>1.86</v>
      </c>
      <c r="AA68">
        <v>0</v>
      </c>
      <c r="AB68">
        <v>270</v>
      </c>
      <c r="AC68">
        <v>15.42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1.86</v>
      </c>
      <c r="AV68">
        <v>0</v>
      </c>
      <c r="AW68">
        <v>2</v>
      </c>
      <c r="AX68">
        <v>27555913</v>
      </c>
      <c r="AY68">
        <v>1</v>
      </c>
      <c r="AZ68">
        <v>0</v>
      </c>
      <c r="BA68">
        <v>64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ROW(Source!A98)</f>
        <v>98</v>
      </c>
      <c r="B69">
        <v>27555917</v>
      </c>
      <c r="C69">
        <v>27555916</v>
      </c>
      <c r="D69">
        <v>24506818</v>
      </c>
      <c r="E69">
        <v>1</v>
      </c>
      <c r="F69">
        <v>1</v>
      </c>
      <c r="G69">
        <v>1</v>
      </c>
      <c r="H69">
        <v>1</v>
      </c>
      <c r="I69" t="s">
        <v>290</v>
      </c>
      <c r="K69" t="s">
        <v>291</v>
      </c>
      <c r="L69">
        <v>1369</v>
      </c>
      <c r="N69">
        <v>1013</v>
      </c>
      <c r="O69" t="s">
        <v>225</v>
      </c>
      <c r="P69" t="s">
        <v>225</v>
      </c>
      <c r="Q69">
        <v>1</v>
      </c>
      <c r="Y69">
        <v>35.08</v>
      </c>
      <c r="AA69">
        <v>0</v>
      </c>
      <c r="AB69">
        <v>0</v>
      </c>
      <c r="AC69">
        <v>0</v>
      </c>
      <c r="AD69">
        <v>7.94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35.08</v>
      </c>
      <c r="AV69">
        <v>1</v>
      </c>
      <c r="AW69">
        <v>2</v>
      </c>
      <c r="AX69">
        <v>27555921</v>
      </c>
      <c r="AY69">
        <v>1</v>
      </c>
      <c r="AZ69">
        <v>0</v>
      </c>
      <c r="BA69">
        <v>65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ROW(Source!A98)</f>
        <v>98</v>
      </c>
      <c r="B70">
        <v>27555918</v>
      </c>
      <c r="C70">
        <v>27555916</v>
      </c>
      <c r="D70">
        <v>121548</v>
      </c>
      <c r="E70">
        <v>1</v>
      </c>
      <c r="F70">
        <v>1</v>
      </c>
      <c r="G70">
        <v>1</v>
      </c>
      <c r="H70">
        <v>1</v>
      </c>
      <c r="I70" t="s">
        <v>28</v>
      </c>
      <c r="K70" t="s">
        <v>226</v>
      </c>
      <c r="L70">
        <v>608254</v>
      </c>
      <c r="N70">
        <v>1013</v>
      </c>
      <c r="O70" t="s">
        <v>227</v>
      </c>
      <c r="P70" t="s">
        <v>227</v>
      </c>
      <c r="Q70">
        <v>1</v>
      </c>
      <c r="Y70">
        <v>0.07</v>
      </c>
      <c r="AA70">
        <v>0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0.07</v>
      </c>
      <c r="AV70">
        <v>2</v>
      </c>
      <c r="AW70">
        <v>2</v>
      </c>
      <c r="AX70">
        <v>27555922</v>
      </c>
      <c r="AY70">
        <v>1</v>
      </c>
      <c r="AZ70">
        <v>0</v>
      </c>
      <c r="BA70">
        <v>66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ROW(Source!A98)</f>
        <v>98</v>
      </c>
      <c r="B71">
        <v>27555919</v>
      </c>
      <c r="C71">
        <v>27555916</v>
      </c>
      <c r="D71">
        <v>24450741</v>
      </c>
      <c r="E71">
        <v>1</v>
      </c>
      <c r="F71">
        <v>1</v>
      </c>
      <c r="G71">
        <v>1</v>
      </c>
      <c r="H71">
        <v>2</v>
      </c>
      <c r="I71" t="s">
        <v>292</v>
      </c>
      <c r="J71" t="s">
        <v>293</v>
      </c>
      <c r="K71" t="s">
        <v>294</v>
      </c>
      <c r="L71">
        <v>1368</v>
      </c>
      <c r="N71">
        <v>1011</v>
      </c>
      <c r="O71" t="s">
        <v>231</v>
      </c>
      <c r="P71" t="s">
        <v>231</v>
      </c>
      <c r="Q71">
        <v>1</v>
      </c>
      <c r="Y71">
        <v>0.07</v>
      </c>
      <c r="AA71">
        <v>0</v>
      </c>
      <c r="AB71">
        <v>74.61</v>
      </c>
      <c r="AC71">
        <v>13.5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0.07</v>
      </c>
      <c r="AV71">
        <v>0</v>
      </c>
      <c r="AW71">
        <v>2</v>
      </c>
      <c r="AX71">
        <v>27555923</v>
      </c>
      <c r="AY71">
        <v>1</v>
      </c>
      <c r="AZ71">
        <v>0</v>
      </c>
      <c r="BA71">
        <v>67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ROW(Source!A98)</f>
        <v>98</v>
      </c>
      <c r="B72">
        <v>27555920</v>
      </c>
      <c r="C72">
        <v>27555916</v>
      </c>
      <c r="D72">
        <v>24451311</v>
      </c>
      <c r="E72">
        <v>1</v>
      </c>
      <c r="F72">
        <v>1</v>
      </c>
      <c r="G72">
        <v>1</v>
      </c>
      <c r="H72">
        <v>2</v>
      </c>
      <c r="I72" t="s">
        <v>295</v>
      </c>
      <c r="J72" t="s">
        <v>296</v>
      </c>
      <c r="K72" t="s">
        <v>297</v>
      </c>
      <c r="L72">
        <v>1368</v>
      </c>
      <c r="N72">
        <v>1011</v>
      </c>
      <c r="O72" t="s">
        <v>231</v>
      </c>
      <c r="P72" t="s">
        <v>231</v>
      </c>
      <c r="Q72">
        <v>1</v>
      </c>
      <c r="Y72">
        <v>0.14</v>
      </c>
      <c r="AA72">
        <v>0</v>
      </c>
      <c r="AB72">
        <v>9.62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0.14</v>
      </c>
      <c r="AV72">
        <v>0</v>
      </c>
      <c r="AW72">
        <v>2</v>
      </c>
      <c r="AX72">
        <v>27555924</v>
      </c>
      <c r="AY72">
        <v>1</v>
      </c>
      <c r="AZ72">
        <v>0</v>
      </c>
      <c r="BA72">
        <v>68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ROW(Source!A98)</f>
        <v>98</v>
      </c>
      <c r="B73">
        <v>27555927</v>
      </c>
      <c r="C73">
        <v>27555916</v>
      </c>
      <c r="D73">
        <v>24471920</v>
      </c>
      <c r="E73">
        <v>1</v>
      </c>
      <c r="F73">
        <v>1</v>
      </c>
      <c r="G73">
        <v>1</v>
      </c>
      <c r="H73">
        <v>3</v>
      </c>
      <c r="I73" t="s">
        <v>89</v>
      </c>
      <c r="J73" t="s">
        <v>92</v>
      </c>
      <c r="K73" t="s">
        <v>90</v>
      </c>
      <c r="L73">
        <v>1339</v>
      </c>
      <c r="N73">
        <v>1007</v>
      </c>
      <c r="O73" t="s">
        <v>91</v>
      </c>
      <c r="P73" t="s">
        <v>91</v>
      </c>
      <c r="Q73">
        <v>1</v>
      </c>
      <c r="Y73">
        <v>-15</v>
      </c>
      <c r="AA73">
        <v>131.9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-15</v>
      </c>
      <c r="AV73">
        <v>0</v>
      </c>
      <c r="AW73">
        <v>2</v>
      </c>
      <c r="AX73">
        <v>27555925</v>
      </c>
      <c r="AY73">
        <v>2</v>
      </c>
      <c r="AZ73">
        <v>12288</v>
      </c>
      <c r="BA73">
        <v>69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ROW(Source!A98)</f>
        <v>98</v>
      </c>
      <c r="B74">
        <v>27555929</v>
      </c>
      <c r="C74">
        <v>27555916</v>
      </c>
      <c r="D74">
        <v>24471920</v>
      </c>
      <c r="E74">
        <v>1</v>
      </c>
      <c r="F74">
        <v>1</v>
      </c>
      <c r="G74">
        <v>1</v>
      </c>
      <c r="H74">
        <v>3</v>
      </c>
      <c r="I74" t="s">
        <v>89</v>
      </c>
      <c r="J74" t="s">
        <v>92</v>
      </c>
      <c r="K74" t="s">
        <v>90</v>
      </c>
      <c r="L74">
        <v>1339</v>
      </c>
      <c r="N74">
        <v>1007</v>
      </c>
      <c r="O74" t="s">
        <v>91</v>
      </c>
      <c r="P74" t="s">
        <v>91</v>
      </c>
      <c r="Q74">
        <v>1</v>
      </c>
      <c r="Y74">
        <v>5</v>
      </c>
      <c r="AA74">
        <v>131.9</v>
      </c>
      <c r="AB74">
        <v>0</v>
      </c>
      <c r="AC74">
        <v>0</v>
      </c>
      <c r="AD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T74">
        <v>5</v>
      </c>
      <c r="AV74">
        <v>0</v>
      </c>
      <c r="AW74">
        <v>1</v>
      </c>
      <c r="AX74">
        <v>-1</v>
      </c>
      <c r="AY74">
        <v>0</v>
      </c>
      <c r="AZ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ROW(Source!A98)</f>
        <v>98</v>
      </c>
      <c r="B75">
        <v>27555931</v>
      </c>
      <c r="C75">
        <v>27555916</v>
      </c>
      <c r="D75">
        <v>24472042</v>
      </c>
      <c r="E75">
        <v>1</v>
      </c>
      <c r="F75">
        <v>1</v>
      </c>
      <c r="G75">
        <v>1</v>
      </c>
      <c r="H75">
        <v>3</v>
      </c>
      <c r="I75" t="s">
        <v>95</v>
      </c>
      <c r="J75" t="s">
        <v>97</v>
      </c>
      <c r="K75" t="s">
        <v>96</v>
      </c>
      <c r="L75">
        <v>1339</v>
      </c>
      <c r="N75">
        <v>1007</v>
      </c>
      <c r="O75" t="s">
        <v>91</v>
      </c>
      <c r="P75" t="s">
        <v>91</v>
      </c>
      <c r="Q75">
        <v>1</v>
      </c>
      <c r="Y75">
        <v>5</v>
      </c>
      <c r="AA75">
        <v>55.26</v>
      </c>
      <c r="AB75">
        <v>0</v>
      </c>
      <c r="AC75">
        <v>0</v>
      </c>
      <c r="AD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5</v>
      </c>
      <c r="AV75">
        <v>0</v>
      </c>
      <c r="AW75">
        <v>1</v>
      </c>
      <c r="AX75">
        <v>-1</v>
      </c>
      <c r="AY75">
        <v>0</v>
      </c>
      <c r="AZ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ROW(Source!A123)</f>
        <v>123</v>
      </c>
      <c r="B76">
        <v>27555975</v>
      </c>
      <c r="C76">
        <v>27555974</v>
      </c>
      <c r="D76">
        <v>24506818</v>
      </c>
      <c r="E76">
        <v>1</v>
      </c>
      <c r="F76">
        <v>1</v>
      </c>
      <c r="G76">
        <v>1</v>
      </c>
      <c r="H76">
        <v>1</v>
      </c>
      <c r="I76" t="s">
        <v>290</v>
      </c>
      <c r="K76" t="s">
        <v>291</v>
      </c>
      <c r="L76">
        <v>1369</v>
      </c>
      <c r="N76">
        <v>1013</v>
      </c>
      <c r="O76" t="s">
        <v>225</v>
      </c>
      <c r="P76" t="s">
        <v>225</v>
      </c>
      <c r="Q76">
        <v>1</v>
      </c>
      <c r="Y76">
        <v>35.08</v>
      </c>
      <c r="AA76">
        <v>0</v>
      </c>
      <c r="AB76">
        <v>0</v>
      </c>
      <c r="AC76">
        <v>0</v>
      </c>
      <c r="AD76">
        <v>7.94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35.08</v>
      </c>
      <c r="AV76">
        <v>1</v>
      </c>
      <c r="AW76">
        <v>2</v>
      </c>
      <c r="AX76">
        <v>27555979</v>
      </c>
      <c r="AY76">
        <v>1</v>
      </c>
      <c r="AZ76">
        <v>0</v>
      </c>
      <c r="BA76">
        <v>70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ROW(Source!A123)</f>
        <v>123</v>
      </c>
      <c r="B77">
        <v>27555976</v>
      </c>
      <c r="C77">
        <v>27555974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28</v>
      </c>
      <c r="K77" t="s">
        <v>226</v>
      </c>
      <c r="L77">
        <v>608254</v>
      </c>
      <c r="N77">
        <v>1013</v>
      </c>
      <c r="O77" t="s">
        <v>227</v>
      </c>
      <c r="P77" t="s">
        <v>227</v>
      </c>
      <c r="Q77">
        <v>1</v>
      </c>
      <c r="Y77">
        <v>0.07</v>
      </c>
      <c r="AA77">
        <v>0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0.07</v>
      </c>
      <c r="AV77">
        <v>2</v>
      </c>
      <c r="AW77">
        <v>2</v>
      </c>
      <c r="AX77">
        <v>27555980</v>
      </c>
      <c r="AY77">
        <v>1</v>
      </c>
      <c r="AZ77">
        <v>0</v>
      </c>
      <c r="BA77">
        <v>71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ROW(Source!A123)</f>
        <v>123</v>
      </c>
      <c r="B78">
        <v>27555977</v>
      </c>
      <c r="C78">
        <v>27555974</v>
      </c>
      <c r="D78">
        <v>24450741</v>
      </c>
      <c r="E78">
        <v>1</v>
      </c>
      <c r="F78">
        <v>1</v>
      </c>
      <c r="G78">
        <v>1</v>
      </c>
      <c r="H78">
        <v>2</v>
      </c>
      <c r="I78" t="s">
        <v>292</v>
      </c>
      <c r="J78" t="s">
        <v>293</v>
      </c>
      <c r="K78" t="s">
        <v>294</v>
      </c>
      <c r="L78">
        <v>1368</v>
      </c>
      <c r="N78">
        <v>1011</v>
      </c>
      <c r="O78" t="s">
        <v>231</v>
      </c>
      <c r="P78" t="s">
        <v>231</v>
      </c>
      <c r="Q78">
        <v>1</v>
      </c>
      <c r="Y78">
        <v>0.07</v>
      </c>
      <c r="AA78">
        <v>0</v>
      </c>
      <c r="AB78">
        <v>74.61</v>
      </c>
      <c r="AC78">
        <v>13.5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0.07</v>
      </c>
      <c r="AV78">
        <v>0</v>
      </c>
      <c r="AW78">
        <v>2</v>
      </c>
      <c r="AX78">
        <v>27555981</v>
      </c>
      <c r="AY78">
        <v>1</v>
      </c>
      <c r="AZ78">
        <v>0</v>
      </c>
      <c r="BA78">
        <v>72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ROW(Source!A123)</f>
        <v>123</v>
      </c>
      <c r="B79">
        <v>27555978</v>
      </c>
      <c r="C79">
        <v>27555974</v>
      </c>
      <c r="D79">
        <v>24451311</v>
      </c>
      <c r="E79">
        <v>1</v>
      </c>
      <c r="F79">
        <v>1</v>
      </c>
      <c r="G79">
        <v>1</v>
      </c>
      <c r="H79">
        <v>2</v>
      </c>
      <c r="I79" t="s">
        <v>295</v>
      </c>
      <c r="J79" t="s">
        <v>296</v>
      </c>
      <c r="K79" t="s">
        <v>297</v>
      </c>
      <c r="L79">
        <v>1368</v>
      </c>
      <c r="N79">
        <v>1011</v>
      </c>
      <c r="O79" t="s">
        <v>231</v>
      </c>
      <c r="P79" t="s">
        <v>231</v>
      </c>
      <c r="Q79">
        <v>1</v>
      </c>
      <c r="Y79">
        <v>0.14</v>
      </c>
      <c r="AA79">
        <v>0</v>
      </c>
      <c r="AB79">
        <v>9.62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0.14</v>
      </c>
      <c r="AV79">
        <v>0</v>
      </c>
      <c r="AW79">
        <v>2</v>
      </c>
      <c r="AX79">
        <v>27555982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ROW(Source!A123)</f>
        <v>123</v>
      </c>
      <c r="B80">
        <v>27555985</v>
      </c>
      <c r="C80">
        <v>27555974</v>
      </c>
      <c r="D80">
        <v>24471920</v>
      </c>
      <c r="E80">
        <v>1</v>
      </c>
      <c r="F80">
        <v>1</v>
      </c>
      <c r="G80">
        <v>1</v>
      </c>
      <c r="H80">
        <v>3</v>
      </c>
      <c r="I80" t="s">
        <v>89</v>
      </c>
      <c r="J80" t="s">
        <v>92</v>
      </c>
      <c r="K80" t="s">
        <v>90</v>
      </c>
      <c r="L80">
        <v>1339</v>
      </c>
      <c r="N80">
        <v>1007</v>
      </c>
      <c r="O80" t="s">
        <v>91</v>
      </c>
      <c r="P80" t="s">
        <v>91</v>
      </c>
      <c r="Q80">
        <v>1</v>
      </c>
      <c r="Y80">
        <v>-15</v>
      </c>
      <c r="AA80">
        <v>131.9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-15</v>
      </c>
      <c r="AV80">
        <v>0</v>
      </c>
      <c r="AW80">
        <v>2</v>
      </c>
      <c r="AX80">
        <v>27555983</v>
      </c>
      <c r="AY80">
        <v>2</v>
      </c>
      <c r="AZ80">
        <v>12288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ROW(Source!A123)</f>
        <v>123</v>
      </c>
      <c r="B81">
        <v>27555987</v>
      </c>
      <c r="C81">
        <v>27555974</v>
      </c>
      <c r="D81">
        <v>24471920</v>
      </c>
      <c r="E81">
        <v>1</v>
      </c>
      <c r="F81">
        <v>1</v>
      </c>
      <c r="G81">
        <v>1</v>
      </c>
      <c r="H81">
        <v>3</v>
      </c>
      <c r="I81" t="s">
        <v>89</v>
      </c>
      <c r="J81" t="s">
        <v>92</v>
      </c>
      <c r="K81" t="s">
        <v>90</v>
      </c>
      <c r="L81">
        <v>1339</v>
      </c>
      <c r="N81">
        <v>1007</v>
      </c>
      <c r="O81" t="s">
        <v>91</v>
      </c>
      <c r="P81" t="s">
        <v>91</v>
      </c>
      <c r="Q81">
        <v>1</v>
      </c>
      <c r="Y81">
        <v>5</v>
      </c>
      <c r="AA81">
        <v>131.9</v>
      </c>
      <c r="AB81">
        <v>0</v>
      </c>
      <c r="AC81">
        <v>0</v>
      </c>
      <c r="AD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T81">
        <v>5</v>
      </c>
      <c r="AV81">
        <v>0</v>
      </c>
      <c r="AW81">
        <v>1</v>
      </c>
      <c r="AX81">
        <v>-1</v>
      </c>
      <c r="AY81">
        <v>0</v>
      </c>
      <c r="AZ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ROW(Source!A123)</f>
        <v>123</v>
      </c>
      <c r="B82">
        <v>27555989</v>
      </c>
      <c r="C82">
        <v>27555974</v>
      </c>
      <c r="D82">
        <v>24472042</v>
      </c>
      <c r="E82">
        <v>1</v>
      </c>
      <c r="F82">
        <v>1</v>
      </c>
      <c r="G82">
        <v>1</v>
      </c>
      <c r="H82">
        <v>3</v>
      </c>
      <c r="I82" t="s">
        <v>95</v>
      </c>
      <c r="J82" t="s">
        <v>97</v>
      </c>
      <c r="K82" t="s">
        <v>96</v>
      </c>
      <c r="L82">
        <v>1339</v>
      </c>
      <c r="N82">
        <v>1007</v>
      </c>
      <c r="O82" t="s">
        <v>91</v>
      </c>
      <c r="P82" t="s">
        <v>91</v>
      </c>
      <c r="Q82">
        <v>1</v>
      </c>
      <c r="Y82">
        <v>5</v>
      </c>
      <c r="AA82">
        <v>55.26</v>
      </c>
      <c r="AB82">
        <v>0</v>
      </c>
      <c r="AC82">
        <v>0</v>
      </c>
      <c r="AD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T82">
        <v>5</v>
      </c>
      <c r="AV82">
        <v>0</v>
      </c>
      <c r="AW82">
        <v>1</v>
      </c>
      <c r="AX82">
        <v>-1</v>
      </c>
      <c r="AY82">
        <v>0</v>
      </c>
      <c r="AZ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ROW(Source!A127)</f>
        <v>127</v>
      </c>
      <c r="B83">
        <v>27556015</v>
      </c>
      <c r="C83">
        <v>27555990</v>
      </c>
      <c r="D83">
        <v>24508406</v>
      </c>
      <c r="E83">
        <v>1</v>
      </c>
      <c r="F83">
        <v>1</v>
      </c>
      <c r="G83">
        <v>1</v>
      </c>
      <c r="H83">
        <v>1</v>
      </c>
      <c r="I83" t="s">
        <v>239</v>
      </c>
      <c r="K83" t="s">
        <v>240</v>
      </c>
      <c r="L83">
        <v>1369</v>
      </c>
      <c r="N83">
        <v>1013</v>
      </c>
      <c r="O83" t="s">
        <v>225</v>
      </c>
      <c r="P83" t="s">
        <v>225</v>
      </c>
      <c r="Q83">
        <v>1</v>
      </c>
      <c r="Y83">
        <v>430.55</v>
      </c>
      <c r="AA83">
        <v>0</v>
      </c>
      <c r="AB83">
        <v>0</v>
      </c>
      <c r="AC83">
        <v>0</v>
      </c>
      <c r="AD83">
        <v>9.18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430.55</v>
      </c>
      <c r="AV83">
        <v>1</v>
      </c>
      <c r="AW83">
        <v>2</v>
      </c>
      <c r="AX83">
        <v>27556015</v>
      </c>
      <c r="AY83">
        <v>1</v>
      </c>
      <c r="AZ83">
        <v>0</v>
      </c>
      <c r="BA83">
        <v>75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ROW(Source!A127)</f>
        <v>127</v>
      </c>
      <c r="B84">
        <v>27556016</v>
      </c>
      <c r="C84">
        <v>27555990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28</v>
      </c>
      <c r="K84" t="s">
        <v>226</v>
      </c>
      <c r="L84">
        <v>608254</v>
      </c>
      <c r="N84">
        <v>1013</v>
      </c>
      <c r="O84" t="s">
        <v>227</v>
      </c>
      <c r="P84" t="s">
        <v>227</v>
      </c>
      <c r="Q84">
        <v>1</v>
      </c>
      <c r="Y84">
        <v>102.92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102.92</v>
      </c>
      <c r="AV84">
        <v>2</v>
      </c>
      <c r="AW84">
        <v>2</v>
      </c>
      <c r="AX84">
        <v>27556016</v>
      </c>
      <c r="AY84">
        <v>1</v>
      </c>
      <c r="AZ84">
        <v>0</v>
      </c>
      <c r="BA84">
        <v>76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  <row r="85" spans="1:80" ht="12.75">
      <c r="A85">
        <f>ROW(Source!A127)</f>
        <v>127</v>
      </c>
      <c r="B85">
        <v>27556017</v>
      </c>
      <c r="C85">
        <v>27555990</v>
      </c>
      <c r="D85">
        <v>24450839</v>
      </c>
      <c r="E85">
        <v>1</v>
      </c>
      <c r="F85">
        <v>1</v>
      </c>
      <c r="G85">
        <v>1</v>
      </c>
      <c r="H85">
        <v>2</v>
      </c>
      <c r="I85" t="s">
        <v>241</v>
      </c>
      <c r="J85" t="s">
        <v>242</v>
      </c>
      <c r="K85" t="s">
        <v>243</v>
      </c>
      <c r="L85">
        <v>1368</v>
      </c>
      <c r="N85">
        <v>1011</v>
      </c>
      <c r="O85" t="s">
        <v>231</v>
      </c>
      <c r="P85" t="s">
        <v>231</v>
      </c>
      <c r="Q85">
        <v>1</v>
      </c>
      <c r="Y85">
        <v>98.29</v>
      </c>
      <c r="AA85">
        <v>0</v>
      </c>
      <c r="AB85">
        <v>112</v>
      </c>
      <c r="AC85">
        <v>13.5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98.29</v>
      </c>
      <c r="AV85">
        <v>0</v>
      </c>
      <c r="AW85">
        <v>2</v>
      </c>
      <c r="AX85">
        <v>27556017</v>
      </c>
      <c r="AY85">
        <v>1</v>
      </c>
      <c r="AZ85">
        <v>0</v>
      </c>
      <c r="BA85">
        <v>77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B85">
        <v>0</v>
      </c>
    </row>
    <row r="86" spans="1:80" ht="12.75">
      <c r="A86">
        <f>ROW(Source!A127)</f>
        <v>127</v>
      </c>
      <c r="B86">
        <v>27556018</v>
      </c>
      <c r="C86">
        <v>27555990</v>
      </c>
      <c r="D86">
        <v>24450908</v>
      </c>
      <c r="E86">
        <v>1</v>
      </c>
      <c r="F86">
        <v>1</v>
      </c>
      <c r="G86">
        <v>1</v>
      </c>
      <c r="H86">
        <v>2</v>
      </c>
      <c r="I86" t="s">
        <v>244</v>
      </c>
      <c r="J86" t="s">
        <v>245</v>
      </c>
      <c r="K86" t="s">
        <v>246</v>
      </c>
      <c r="L86">
        <v>1368</v>
      </c>
      <c r="N86">
        <v>1011</v>
      </c>
      <c r="O86" t="s">
        <v>231</v>
      </c>
      <c r="P86" t="s">
        <v>231</v>
      </c>
      <c r="Q86">
        <v>1</v>
      </c>
      <c r="Y86">
        <v>0.33</v>
      </c>
      <c r="AA86">
        <v>0</v>
      </c>
      <c r="AB86">
        <v>99.89</v>
      </c>
      <c r="AC86">
        <v>10.06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0.33</v>
      </c>
      <c r="AV86">
        <v>0</v>
      </c>
      <c r="AW86">
        <v>2</v>
      </c>
      <c r="AX86">
        <v>27556018</v>
      </c>
      <c r="AY86">
        <v>1</v>
      </c>
      <c r="AZ86">
        <v>0</v>
      </c>
      <c r="BA86">
        <v>78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B86">
        <v>0</v>
      </c>
    </row>
    <row r="87" spans="1:80" ht="12.75">
      <c r="A87">
        <f>ROW(Source!A127)</f>
        <v>127</v>
      </c>
      <c r="B87">
        <v>27556019</v>
      </c>
      <c r="C87">
        <v>27555990</v>
      </c>
      <c r="D87">
        <v>24451039</v>
      </c>
      <c r="E87">
        <v>1</v>
      </c>
      <c r="F87">
        <v>1</v>
      </c>
      <c r="G87">
        <v>1</v>
      </c>
      <c r="H87">
        <v>2</v>
      </c>
      <c r="I87" t="s">
        <v>247</v>
      </c>
      <c r="J87" t="s">
        <v>248</v>
      </c>
      <c r="K87" t="s">
        <v>249</v>
      </c>
      <c r="L87">
        <v>1368</v>
      </c>
      <c r="N87">
        <v>1011</v>
      </c>
      <c r="O87" t="s">
        <v>231</v>
      </c>
      <c r="P87" t="s">
        <v>231</v>
      </c>
      <c r="Q87">
        <v>1</v>
      </c>
      <c r="Y87">
        <v>16.35</v>
      </c>
      <c r="AA87">
        <v>0</v>
      </c>
      <c r="AB87">
        <v>8.1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16.35</v>
      </c>
      <c r="AV87">
        <v>0</v>
      </c>
      <c r="AW87">
        <v>2</v>
      </c>
      <c r="AX87">
        <v>27556019</v>
      </c>
      <c r="AY87">
        <v>1</v>
      </c>
      <c r="AZ87">
        <v>0</v>
      </c>
      <c r="BA87">
        <v>79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B87">
        <v>0</v>
      </c>
    </row>
    <row r="88" spans="1:80" ht="12.75">
      <c r="A88">
        <f>ROW(Source!A127)</f>
        <v>127</v>
      </c>
      <c r="B88">
        <v>27556020</v>
      </c>
      <c r="C88">
        <v>27555990</v>
      </c>
      <c r="D88">
        <v>24451149</v>
      </c>
      <c r="E88">
        <v>1</v>
      </c>
      <c r="F88">
        <v>1</v>
      </c>
      <c r="G88">
        <v>1</v>
      </c>
      <c r="H88">
        <v>2</v>
      </c>
      <c r="I88" t="s">
        <v>250</v>
      </c>
      <c r="J88" t="s">
        <v>251</v>
      </c>
      <c r="K88" t="s">
        <v>252</v>
      </c>
      <c r="L88">
        <v>1368</v>
      </c>
      <c r="N88">
        <v>1011</v>
      </c>
      <c r="O88" t="s">
        <v>231</v>
      </c>
      <c r="P88" t="s">
        <v>231</v>
      </c>
      <c r="Q88">
        <v>1</v>
      </c>
      <c r="Y88">
        <v>4.3</v>
      </c>
      <c r="AA88">
        <v>0</v>
      </c>
      <c r="AB88">
        <v>70.01</v>
      </c>
      <c r="AC88">
        <v>11.6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4.3</v>
      </c>
      <c r="AV88">
        <v>0</v>
      </c>
      <c r="AW88">
        <v>2</v>
      </c>
      <c r="AX88">
        <v>27556020</v>
      </c>
      <c r="AY88">
        <v>1</v>
      </c>
      <c r="AZ88">
        <v>0</v>
      </c>
      <c r="BA88">
        <v>80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B88">
        <v>0</v>
      </c>
    </row>
    <row r="89" spans="1:80" ht="12.75">
      <c r="A89">
        <f>ROW(Source!A127)</f>
        <v>127</v>
      </c>
      <c r="B89">
        <v>27556021</v>
      </c>
      <c r="C89">
        <v>27555990</v>
      </c>
      <c r="D89">
        <v>24452575</v>
      </c>
      <c r="E89">
        <v>1</v>
      </c>
      <c r="F89">
        <v>1</v>
      </c>
      <c r="G89">
        <v>1</v>
      </c>
      <c r="H89">
        <v>2</v>
      </c>
      <c r="I89" t="s">
        <v>253</v>
      </c>
      <c r="J89" t="s">
        <v>254</v>
      </c>
      <c r="K89" t="s">
        <v>255</v>
      </c>
      <c r="L89">
        <v>1368</v>
      </c>
      <c r="N89">
        <v>1011</v>
      </c>
      <c r="O89" t="s">
        <v>231</v>
      </c>
      <c r="P89" t="s">
        <v>231</v>
      </c>
      <c r="Q89">
        <v>1</v>
      </c>
      <c r="Y89">
        <v>7.15</v>
      </c>
      <c r="AA89">
        <v>0</v>
      </c>
      <c r="AB89">
        <v>87.17</v>
      </c>
      <c r="AC89">
        <v>11.6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7.15</v>
      </c>
      <c r="AV89">
        <v>0</v>
      </c>
      <c r="AW89">
        <v>2</v>
      </c>
      <c r="AX89">
        <v>27556021</v>
      </c>
      <c r="AY89">
        <v>1</v>
      </c>
      <c r="AZ89">
        <v>0</v>
      </c>
      <c r="BA89">
        <v>81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B89">
        <v>0</v>
      </c>
    </row>
    <row r="90" spans="1:80" ht="12.75">
      <c r="A90">
        <f>ROW(Source!A127)</f>
        <v>127</v>
      </c>
      <c r="B90">
        <v>27556022</v>
      </c>
      <c r="C90">
        <v>27555990</v>
      </c>
      <c r="D90">
        <v>24454189</v>
      </c>
      <c r="E90">
        <v>1</v>
      </c>
      <c r="F90">
        <v>1</v>
      </c>
      <c r="G90">
        <v>1</v>
      </c>
      <c r="H90">
        <v>3</v>
      </c>
      <c r="I90" t="s">
        <v>256</v>
      </c>
      <c r="J90" t="s">
        <v>257</v>
      </c>
      <c r="K90" t="s">
        <v>258</v>
      </c>
      <c r="L90">
        <v>1348</v>
      </c>
      <c r="N90">
        <v>1009</v>
      </c>
      <c r="O90" t="s">
        <v>39</v>
      </c>
      <c r="P90" t="s">
        <v>39</v>
      </c>
      <c r="Q90">
        <v>1000</v>
      </c>
      <c r="Y90">
        <v>1.02</v>
      </c>
      <c r="AA90">
        <v>412.01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1.02</v>
      </c>
      <c r="AV90">
        <v>0</v>
      </c>
      <c r="AW90">
        <v>2</v>
      </c>
      <c r="AX90">
        <v>27556022</v>
      </c>
      <c r="AY90">
        <v>1</v>
      </c>
      <c r="AZ90">
        <v>0</v>
      </c>
      <c r="BA90">
        <v>82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B90">
        <v>0</v>
      </c>
    </row>
    <row r="91" spans="1:80" ht="12.75">
      <c r="A91">
        <f>ROW(Source!A127)</f>
        <v>127</v>
      </c>
      <c r="B91">
        <v>27556023</v>
      </c>
      <c r="C91">
        <v>27555990</v>
      </c>
      <c r="D91">
        <v>24454280</v>
      </c>
      <c r="E91">
        <v>1</v>
      </c>
      <c r="F91">
        <v>1</v>
      </c>
      <c r="G91">
        <v>1</v>
      </c>
      <c r="H91">
        <v>3</v>
      </c>
      <c r="I91" t="s">
        <v>259</v>
      </c>
      <c r="J91" t="s">
        <v>260</v>
      </c>
      <c r="K91" t="s">
        <v>261</v>
      </c>
      <c r="L91">
        <v>1348</v>
      </c>
      <c r="N91">
        <v>1009</v>
      </c>
      <c r="O91" t="s">
        <v>39</v>
      </c>
      <c r="P91" t="s">
        <v>39</v>
      </c>
      <c r="Q91">
        <v>1000</v>
      </c>
      <c r="Y91">
        <v>0.03</v>
      </c>
      <c r="AA91">
        <v>9423.99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0.03</v>
      </c>
      <c r="AV91">
        <v>0</v>
      </c>
      <c r="AW91">
        <v>2</v>
      </c>
      <c r="AX91">
        <v>27556023</v>
      </c>
      <c r="AY91">
        <v>1</v>
      </c>
      <c r="AZ91">
        <v>0</v>
      </c>
      <c r="BA91">
        <v>83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B91">
        <v>0</v>
      </c>
    </row>
    <row r="92" spans="1:80" ht="12.75">
      <c r="A92">
        <f>ROW(Source!A127)</f>
        <v>127</v>
      </c>
      <c r="B92">
        <v>27556761</v>
      </c>
      <c r="C92">
        <v>27555990</v>
      </c>
      <c r="D92">
        <v>24456846</v>
      </c>
      <c r="E92">
        <v>1</v>
      </c>
      <c r="F92">
        <v>1</v>
      </c>
      <c r="G92">
        <v>1</v>
      </c>
      <c r="H92">
        <v>3</v>
      </c>
      <c r="I92" t="s">
        <v>151</v>
      </c>
      <c r="J92" t="s">
        <v>153</v>
      </c>
      <c r="K92" t="s">
        <v>152</v>
      </c>
      <c r="L92">
        <v>1301</v>
      </c>
      <c r="N92">
        <v>1003</v>
      </c>
      <c r="O92" t="s">
        <v>47</v>
      </c>
      <c r="P92" t="s">
        <v>47</v>
      </c>
      <c r="Q92">
        <v>1</v>
      </c>
      <c r="Y92">
        <v>150</v>
      </c>
      <c r="AA92">
        <v>67.66</v>
      </c>
      <c r="AB92">
        <v>0</v>
      </c>
      <c r="AC92">
        <v>0</v>
      </c>
      <c r="AD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T92">
        <v>150</v>
      </c>
      <c r="AV92">
        <v>0</v>
      </c>
      <c r="AW92">
        <v>1</v>
      </c>
      <c r="AX92">
        <v>-1</v>
      </c>
      <c r="AY92">
        <v>0</v>
      </c>
      <c r="AZ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B92">
        <v>0</v>
      </c>
    </row>
    <row r="93" spans="1:80" ht="12.75">
      <c r="A93">
        <f>ROW(Source!A127)</f>
        <v>127</v>
      </c>
      <c r="B93">
        <v>27556024</v>
      </c>
      <c r="C93">
        <v>27555990</v>
      </c>
      <c r="D93">
        <v>24471559</v>
      </c>
      <c r="E93">
        <v>1</v>
      </c>
      <c r="F93">
        <v>1</v>
      </c>
      <c r="G93">
        <v>1</v>
      </c>
      <c r="H93">
        <v>3</v>
      </c>
      <c r="I93" t="s">
        <v>262</v>
      </c>
      <c r="J93" t="s">
        <v>263</v>
      </c>
      <c r="K93" t="s">
        <v>264</v>
      </c>
      <c r="L93">
        <v>1354</v>
      </c>
      <c r="N93">
        <v>1010</v>
      </c>
      <c r="O93" t="s">
        <v>20</v>
      </c>
      <c r="P93" t="s">
        <v>20</v>
      </c>
      <c r="Q93">
        <v>1</v>
      </c>
      <c r="Y93">
        <v>100</v>
      </c>
      <c r="AA93">
        <v>0</v>
      </c>
      <c r="AB93">
        <v>0</v>
      </c>
      <c r="AC93">
        <v>0</v>
      </c>
      <c r="AD93">
        <v>0</v>
      </c>
      <c r="AN93">
        <v>1</v>
      </c>
      <c r="AO93">
        <v>0</v>
      </c>
      <c r="AP93">
        <v>0</v>
      </c>
      <c r="AQ93">
        <v>0</v>
      </c>
      <c r="AR93">
        <v>0</v>
      </c>
      <c r="AT93">
        <v>100</v>
      </c>
      <c r="AV93">
        <v>0</v>
      </c>
      <c r="AW93">
        <v>2</v>
      </c>
      <c r="AX93">
        <v>27556024</v>
      </c>
      <c r="AY93">
        <v>1</v>
      </c>
      <c r="AZ93">
        <v>0</v>
      </c>
      <c r="BA93">
        <v>84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B93">
        <v>0</v>
      </c>
    </row>
    <row r="94" spans="1:80" ht="12.75">
      <c r="A94">
        <f>ROW(Source!A127)</f>
        <v>127</v>
      </c>
      <c r="B94">
        <v>27556025</v>
      </c>
      <c r="C94">
        <v>27555990</v>
      </c>
      <c r="D94">
        <v>24471969</v>
      </c>
      <c r="E94">
        <v>1</v>
      </c>
      <c r="F94">
        <v>1</v>
      </c>
      <c r="G94">
        <v>1</v>
      </c>
      <c r="H94">
        <v>3</v>
      </c>
      <c r="I94" t="s">
        <v>265</v>
      </c>
      <c r="J94" t="s">
        <v>266</v>
      </c>
      <c r="K94" t="s">
        <v>267</v>
      </c>
      <c r="L94">
        <v>1339</v>
      </c>
      <c r="N94">
        <v>1007</v>
      </c>
      <c r="O94" t="s">
        <v>91</v>
      </c>
      <c r="P94" t="s">
        <v>91</v>
      </c>
      <c r="Q94">
        <v>1</v>
      </c>
      <c r="Y94">
        <v>3</v>
      </c>
      <c r="AA94">
        <v>137.61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3</v>
      </c>
      <c r="AV94">
        <v>0</v>
      </c>
      <c r="AW94">
        <v>2</v>
      </c>
      <c r="AX94">
        <v>27556025</v>
      </c>
      <c r="AY94">
        <v>1</v>
      </c>
      <c r="AZ94">
        <v>0</v>
      </c>
      <c r="BA94">
        <v>85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B94">
        <v>0</v>
      </c>
    </row>
    <row r="95" spans="1:80" ht="12.75">
      <c r="A95">
        <f>ROW(Source!A127)</f>
        <v>127</v>
      </c>
      <c r="B95">
        <v>27556026</v>
      </c>
      <c r="C95">
        <v>27555990</v>
      </c>
      <c r="D95">
        <v>24472293</v>
      </c>
      <c r="E95">
        <v>1</v>
      </c>
      <c r="F95">
        <v>1</v>
      </c>
      <c r="G95">
        <v>1</v>
      </c>
      <c r="H95">
        <v>3</v>
      </c>
      <c r="I95" t="s">
        <v>268</v>
      </c>
      <c r="J95" t="s">
        <v>269</v>
      </c>
      <c r="K95" t="s">
        <v>270</v>
      </c>
      <c r="L95">
        <v>1339</v>
      </c>
      <c r="N95">
        <v>1007</v>
      </c>
      <c r="O95" t="s">
        <v>91</v>
      </c>
      <c r="P95" t="s">
        <v>91</v>
      </c>
      <c r="Q95">
        <v>1</v>
      </c>
      <c r="Y95">
        <v>0.79</v>
      </c>
      <c r="AA95">
        <v>2.44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0.79</v>
      </c>
      <c r="AV95">
        <v>0</v>
      </c>
      <c r="AW95">
        <v>2</v>
      </c>
      <c r="AX95">
        <v>27556026</v>
      </c>
      <c r="AY95">
        <v>1</v>
      </c>
      <c r="AZ95">
        <v>0</v>
      </c>
      <c r="BA95">
        <v>86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B95">
        <v>0</v>
      </c>
    </row>
    <row r="96" spans="1:80" ht="12.75">
      <c r="A96">
        <f>ROW(Source!A129)</f>
        <v>129</v>
      </c>
      <c r="B96">
        <v>27556781</v>
      </c>
      <c r="C96">
        <v>27556780</v>
      </c>
      <c r="D96">
        <v>24505618</v>
      </c>
      <c r="E96">
        <v>1</v>
      </c>
      <c r="F96">
        <v>1</v>
      </c>
      <c r="G96">
        <v>1</v>
      </c>
      <c r="H96">
        <v>1</v>
      </c>
      <c r="I96" t="s">
        <v>298</v>
      </c>
      <c r="K96" t="s">
        <v>299</v>
      </c>
      <c r="L96">
        <v>1369</v>
      </c>
      <c r="N96">
        <v>1013</v>
      </c>
      <c r="O96" t="s">
        <v>225</v>
      </c>
      <c r="P96" t="s">
        <v>225</v>
      </c>
      <c r="Q96">
        <v>1</v>
      </c>
      <c r="Y96">
        <v>63.28</v>
      </c>
      <c r="AA96">
        <v>0</v>
      </c>
      <c r="AB96">
        <v>0</v>
      </c>
      <c r="AC96">
        <v>0</v>
      </c>
      <c r="AD96">
        <v>8.74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63.28</v>
      </c>
      <c r="AV96">
        <v>1</v>
      </c>
      <c r="AW96">
        <v>2</v>
      </c>
      <c r="AX96">
        <v>27556781</v>
      </c>
      <c r="AY96">
        <v>1</v>
      </c>
      <c r="AZ96">
        <v>0</v>
      </c>
      <c r="BA96">
        <v>87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B96">
        <v>0</v>
      </c>
    </row>
    <row r="97" spans="1:80" ht="12.75">
      <c r="A97">
        <f>ROW(Source!A129)</f>
        <v>129</v>
      </c>
      <c r="B97">
        <v>27556782</v>
      </c>
      <c r="C97">
        <v>27556780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28</v>
      </c>
      <c r="K97" t="s">
        <v>226</v>
      </c>
      <c r="L97">
        <v>608254</v>
      </c>
      <c r="N97">
        <v>1013</v>
      </c>
      <c r="O97" t="s">
        <v>227</v>
      </c>
      <c r="P97" t="s">
        <v>227</v>
      </c>
      <c r="Q97">
        <v>1</v>
      </c>
      <c r="Y97">
        <v>3.82</v>
      </c>
      <c r="AA97">
        <v>0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3.82</v>
      </c>
      <c r="AV97">
        <v>2</v>
      </c>
      <c r="AW97">
        <v>2</v>
      </c>
      <c r="AX97">
        <v>27556782</v>
      </c>
      <c r="AY97">
        <v>1</v>
      </c>
      <c r="AZ97">
        <v>0</v>
      </c>
      <c r="BA97">
        <v>88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B97">
        <v>0</v>
      </c>
    </row>
    <row r="98" spans="1:80" ht="12.75">
      <c r="A98">
        <f>ROW(Source!A129)</f>
        <v>129</v>
      </c>
      <c r="B98">
        <v>27556783</v>
      </c>
      <c r="C98">
        <v>27556780</v>
      </c>
      <c r="D98">
        <v>24450768</v>
      </c>
      <c r="E98">
        <v>1</v>
      </c>
      <c r="F98">
        <v>1</v>
      </c>
      <c r="G98">
        <v>1</v>
      </c>
      <c r="H98">
        <v>2</v>
      </c>
      <c r="I98" t="s">
        <v>300</v>
      </c>
      <c r="J98" t="s">
        <v>301</v>
      </c>
      <c r="K98" t="s">
        <v>302</v>
      </c>
      <c r="L98">
        <v>1368</v>
      </c>
      <c r="N98">
        <v>1011</v>
      </c>
      <c r="O98" t="s">
        <v>231</v>
      </c>
      <c r="P98" t="s">
        <v>231</v>
      </c>
      <c r="Q98">
        <v>1</v>
      </c>
      <c r="Y98">
        <v>0.1</v>
      </c>
      <c r="AA98">
        <v>0</v>
      </c>
      <c r="AB98">
        <v>120.52</v>
      </c>
      <c r="AC98">
        <v>15.42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0.1</v>
      </c>
      <c r="AV98">
        <v>0</v>
      </c>
      <c r="AW98">
        <v>2</v>
      </c>
      <c r="AX98">
        <v>27556783</v>
      </c>
      <c r="AY98">
        <v>1</v>
      </c>
      <c r="AZ98">
        <v>0</v>
      </c>
      <c r="BA98">
        <v>89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B98">
        <v>0</v>
      </c>
    </row>
    <row r="99" spans="1:80" ht="12.75">
      <c r="A99">
        <f>ROW(Source!A129)</f>
        <v>129</v>
      </c>
      <c r="B99">
        <v>27556784</v>
      </c>
      <c r="C99">
        <v>27556780</v>
      </c>
      <c r="D99">
        <v>24450839</v>
      </c>
      <c r="E99">
        <v>1</v>
      </c>
      <c r="F99">
        <v>1</v>
      </c>
      <c r="G99">
        <v>1</v>
      </c>
      <c r="H99">
        <v>2</v>
      </c>
      <c r="I99" t="s">
        <v>241</v>
      </c>
      <c r="J99" t="s">
        <v>242</v>
      </c>
      <c r="K99" t="s">
        <v>243</v>
      </c>
      <c r="L99">
        <v>1368</v>
      </c>
      <c r="N99">
        <v>1011</v>
      </c>
      <c r="O99" t="s">
        <v>231</v>
      </c>
      <c r="P99" t="s">
        <v>231</v>
      </c>
      <c r="Q99">
        <v>1</v>
      </c>
      <c r="Y99">
        <v>0.12</v>
      </c>
      <c r="AA99">
        <v>0</v>
      </c>
      <c r="AB99">
        <v>112</v>
      </c>
      <c r="AC99">
        <v>13.5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0.12</v>
      </c>
      <c r="AV99">
        <v>0</v>
      </c>
      <c r="AW99">
        <v>2</v>
      </c>
      <c r="AX99">
        <v>27556784</v>
      </c>
      <c r="AY99">
        <v>1</v>
      </c>
      <c r="AZ99">
        <v>0</v>
      </c>
      <c r="BA99">
        <v>90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B99">
        <v>0</v>
      </c>
    </row>
    <row r="100" spans="1:80" ht="12.75">
      <c r="A100">
        <f>ROW(Source!A129)</f>
        <v>129</v>
      </c>
      <c r="B100">
        <v>27556785</v>
      </c>
      <c r="C100">
        <v>27556780</v>
      </c>
      <c r="D100">
        <v>24450861</v>
      </c>
      <c r="E100">
        <v>1</v>
      </c>
      <c r="F100">
        <v>1</v>
      </c>
      <c r="G100">
        <v>1</v>
      </c>
      <c r="H100">
        <v>2</v>
      </c>
      <c r="I100" t="s">
        <v>303</v>
      </c>
      <c r="J100" t="s">
        <v>304</v>
      </c>
      <c r="K100" t="s">
        <v>305</v>
      </c>
      <c r="L100">
        <v>1368</v>
      </c>
      <c r="N100">
        <v>1011</v>
      </c>
      <c r="O100" t="s">
        <v>231</v>
      </c>
      <c r="P100" t="s">
        <v>231</v>
      </c>
      <c r="Q100">
        <v>1</v>
      </c>
      <c r="Y100">
        <v>3.6</v>
      </c>
      <c r="AA100">
        <v>0</v>
      </c>
      <c r="AB100">
        <v>120.03</v>
      </c>
      <c r="AC100">
        <v>13.5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3.6</v>
      </c>
      <c r="AV100">
        <v>0</v>
      </c>
      <c r="AW100">
        <v>2</v>
      </c>
      <c r="AX100">
        <v>27556785</v>
      </c>
      <c r="AY100">
        <v>1</v>
      </c>
      <c r="AZ100">
        <v>0</v>
      </c>
      <c r="BA100">
        <v>91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B100">
        <v>0</v>
      </c>
    </row>
    <row r="101" spans="1:80" ht="12.75">
      <c r="A101">
        <f>ROW(Source!A129)</f>
        <v>129</v>
      </c>
      <c r="B101">
        <v>27556786</v>
      </c>
      <c r="C101">
        <v>27556780</v>
      </c>
      <c r="D101">
        <v>24451041</v>
      </c>
      <c r="E101">
        <v>1</v>
      </c>
      <c r="F101">
        <v>1</v>
      </c>
      <c r="G101">
        <v>1</v>
      </c>
      <c r="H101">
        <v>2</v>
      </c>
      <c r="I101" t="s">
        <v>306</v>
      </c>
      <c r="J101" t="s">
        <v>307</v>
      </c>
      <c r="K101" t="s">
        <v>308</v>
      </c>
      <c r="L101">
        <v>1368</v>
      </c>
      <c r="N101">
        <v>1011</v>
      </c>
      <c r="O101" t="s">
        <v>231</v>
      </c>
      <c r="P101" t="s">
        <v>231</v>
      </c>
      <c r="Q101">
        <v>1</v>
      </c>
      <c r="Y101">
        <v>1.46</v>
      </c>
      <c r="AA101">
        <v>0</v>
      </c>
      <c r="AB101">
        <v>1.2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1.46</v>
      </c>
      <c r="AV101">
        <v>0</v>
      </c>
      <c r="AW101">
        <v>2</v>
      </c>
      <c r="AX101">
        <v>27556786</v>
      </c>
      <c r="AY101">
        <v>1</v>
      </c>
      <c r="AZ101">
        <v>0</v>
      </c>
      <c r="BA101">
        <v>92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B101">
        <v>0</v>
      </c>
    </row>
    <row r="102" spans="1:80" ht="12.75">
      <c r="A102">
        <f>ROW(Source!A129)</f>
        <v>129</v>
      </c>
      <c r="B102">
        <v>27556787</v>
      </c>
      <c r="C102">
        <v>27556780</v>
      </c>
      <c r="D102">
        <v>24451048</v>
      </c>
      <c r="E102">
        <v>1</v>
      </c>
      <c r="F102">
        <v>1</v>
      </c>
      <c r="G102">
        <v>1</v>
      </c>
      <c r="H102">
        <v>2</v>
      </c>
      <c r="I102" t="s">
        <v>309</v>
      </c>
      <c r="J102" t="s">
        <v>310</v>
      </c>
      <c r="K102" t="s">
        <v>311</v>
      </c>
      <c r="L102">
        <v>1368</v>
      </c>
      <c r="N102">
        <v>1011</v>
      </c>
      <c r="O102" t="s">
        <v>231</v>
      </c>
      <c r="P102" t="s">
        <v>231</v>
      </c>
      <c r="Q102">
        <v>1</v>
      </c>
      <c r="Y102">
        <v>0.1</v>
      </c>
      <c r="AA102">
        <v>0</v>
      </c>
      <c r="AB102">
        <v>12.31</v>
      </c>
      <c r="AC102">
        <v>0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0.1</v>
      </c>
      <c r="AV102">
        <v>0</v>
      </c>
      <c r="AW102">
        <v>2</v>
      </c>
      <c r="AX102">
        <v>27556787</v>
      </c>
      <c r="AY102">
        <v>1</v>
      </c>
      <c r="AZ102">
        <v>0</v>
      </c>
      <c r="BA102">
        <v>93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B102">
        <v>0</v>
      </c>
    </row>
    <row r="103" spans="1:80" ht="12.75">
      <c r="A103">
        <f>ROW(Source!A129)</f>
        <v>129</v>
      </c>
      <c r="B103">
        <v>27556788</v>
      </c>
      <c r="C103">
        <v>27556780</v>
      </c>
      <c r="D103">
        <v>24452575</v>
      </c>
      <c r="E103">
        <v>1</v>
      </c>
      <c r="F103">
        <v>1</v>
      </c>
      <c r="G103">
        <v>1</v>
      </c>
      <c r="H103">
        <v>2</v>
      </c>
      <c r="I103" t="s">
        <v>253</v>
      </c>
      <c r="J103" t="s">
        <v>254</v>
      </c>
      <c r="K103" t="s">
        <v>255</v>
      </c>
      <c r="L103">
        <v>1368</v>
      </c>
      <c r="N103">
        <v>1011</v>
      </c>
      <c r="O103" t="s">
        <v>231</v>
      </c>
      <c r="P103" t="s">
        <v>231</v>
      </c>
      <c r="Q103">
        <v>1</v>
      </c>
      <c r="Y103">
        <v>0.19</v>
      </c>
      <c r="AA103">
        <v>0</v>
      </c>
      <c r="AB103">
        <v>87.17</v>
      </c>
      <c r="AC103">
        <v>11.6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0.19</v>
      </c>
      <c r="AV103">
        <v>0</v>
      </c>
      <c r="AW103">
        <v>2</v>
      </c>
      <c r="AX103">
        <v>27556788</v>
      </c>
      <c r="AY103">
        <v>1</v>
      </c>
      <c r="AZ103">
        <v>0</v>
      </c>
      <c r="BA103">
        <v>94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B103">
        <v>0</v>
      </c>
    </row>
    <row r="104" spans="1:80" ht="12.75">
      <c r="A104">
        <f>ROW(Source!A129)</f>
        <v>129</v>
      </c>
      <c r="B104">
        <v>27556789</v>
      </c>
      <c r="C104">
        <v>27556780</v>
      </c>
      <c r="D104">
        <v>24453552</v>
      </c>
      <c r="E104">
        <v>1</v>
      </c>
      <c r="F104">
        <v>1</v>
      </c>
      <c r="G104">
        <v>1</v>
      </c>
      <c r="H104">
        <v>3</v>
      </c>
      <c r="I104" t="s">
        <v>312</v>
      </c>
      <c r="J104" t="s">
        <v>313</v>
      </c>
      <c r="K104" t="s">
        <v>314</v>
      </c>
      <c r="L104">
        <v>1348</v>
      </c>
      <c r="N104">
        <v>1009</v>
      </c>
      <c r="O104" t="s">
        <v>39</v>
      </c>
      <c r="P104" t="s">
        <v>39</v>
      </c>
      <c r="Q104">
        <v>1000</v>
      </c>
      <c r="Y104">
        <v>0.0001</v>
      </c>
      <c r="AA104">
        <v>37900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0.0001</v>
      </c>
      <c r="AV104">
        <v>0</v>
      </c>
      <c r="AW104">
        <v>2</v>
      </c>
      <c r="AX104">
        <v>27556789</v>
      </c>
      <c r="AY104">
        <v>1</v>
      </c>
      <c r="AZ104">
        <v>0</v>
      </c>
      <c r="BA104">
        <v>95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B104">
        <v>0</v>
      </c>
    </row>
    <row r="105" spans="1:80" ht="12.75">
      <c r="A105">
        <f>ROW(Source!A129)</f>
        <v>129</v>
      </c>
      <c r="B105">
        <v>27556790</v>
      </c>
      <c r="C105">
        <v>27556780</v>
      </c>
      <c r="D105">
        <v>24453562</v>
      </c>
      <c r="E105">
        <v>1</v>
      </c>
      <c r="F105">
        <v>1</v>
      </c>
      <c r="G105">
        <v>1</v>
      </c>
      <c r="H105">
        <v>3</v>
      </c>
      <c r="I105" t="s">
        <v>315</v>
      </c>
      <c r="J105" t="s">
        <v>316</v>
      </c>
      <c r="K105" t="s">
        <v>317</v>
      </c>
      <c r="L105">
        <v>1339</v>
      </c>
      <c r="N105">
        <v>1007</v>
      </c>
      <c r="O105" t="s">
        <v>91</v>
      </c>
      <c r="P105" t="s">
        <v>91</v>
      </c>
      <c r="Q105">
        <v>1</v>
      </c>
      <c r="Y105">
        <v>1.2</v>
      </c>
      <c r="AA105">
        <v>6.23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1.2</v>
      </c>
      <c r="AV105">
        <v>0</v>
      </c>
      <c r="AW105">
        <v>2</v>
      </c>
      <c r="AX105">
        <v>27556790</v>
      </c>
      <c r="AY105">
        <v>1</v>
      </c>
      <c r="AZ105">
        <v>0</v>
      </c>
      <c r="BA105">
        <v>96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B105">
        <v>0</v>
      </c>
    </row>
    <row r="106" spans="1:80" ht="12.75">
      <c r="A106">
        <f>ROW(Source!A129)</f>
        <v>129</v>
      </c>
      <c r="B106">
        <v>27556791</v>
      </c>
      <c r="C106">
        <v>27556780</v>
      </c>
      <c r="D106">
        <v>24453752</v>
      </c>
      <c r="E106">
        <v>1</v>
      </c>
      <c r="F106">
        <v>1</v>
      </c>
      <c r="G106">
        <v>1</v>
      </c>
      <c r="H106">
        <v>3</v>
      </c>
      <c r="I106" t="s">
        <v>318</v>
      </c>
      <c r="J106" t="s">
        <v>319</v>
      </c>
      <c r="K106" t="s">
        <v>320</v>
      </c>
      <c r="L106">
        <v>1348</v>
      </c>
      <c r="N106">
        <v>1009</v>
      </c>
      <c r="O106" t="s">
        <v>39</v>
      </c>
      <c r="P106" t="s">
        <v>39</v>
      </c>
      <c r="Q106">
        <v>1000</v>
      </c>
      <c r="Y106">
        <v>3E-05</v>
      </c>
      <c r="AA106">
        <v>4455.2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3E-05</v>
      </c>
      <c r="AV106">
        <v>0</v>
      </c>
      <c r="AW106">
        <v>2</v>
      </c>
      <c r="AX106">
        <v>27556791</v>
      </c>
      <c r="AY106">
        <v>1</v>
      </c>
      <c r="AZ106">
        <v>0</v>
      </c>
      <c r="BA106">
        <v>97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B106">
        <v>0</v>
      </c>
    </row>
    <row r="107" spans="1:80" ht="12.75">
      <c r="A107">
        <f>ROW(Source!A129)</f>
        <v>129</v>
      </c>
      <c r="B107">
        <v>27556792</v>
      </c>
      <c r="C107">
        <v>27556780</v>
      </c>
      <c r="D107">
        <v>24453980</v>
      </c>
      <c r="E107">
        <v>1</v>
      </c>
      <c r="F107">
        <v>1</v>
      </c>
      <c r="G107">
        <v>1</v>
      </c>
      <c r="H107">
        <v>3</v>
      </c>
      <c r="I107" t="s">
        <v>321</v>
      </c>
      <c r="J107" t="s">
        <v>322</v>
      </c>
      <c r="K107" t="s">
        <v>323</v>
      </c>
      <c r="L107">
        <v>1348</v>
      </c>
      <c r="N107">
        <v>1009</v>
      </c>
      <c r="O107" t="s">
        <v>39</v>
      </c>
      <c r="P107" t="s">
        <v>39</v>
      </c>
      <c r="Q107">
        <v>1000</v>
      </c>
      <c r="Y107">
        <v>0.00194</v>
      </c>
      <c r="AA107">
        <v>4920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0.00194</v>
      </c>
      <c r="AV107">
        <v>0</v>
      </c>
      <c r="AW107">
        <v>2</v>
      </c>
      <c r="AX107">
        <v>27556792</v>
      </c>
      <c r="AY107">
        <v>1</v>
      </c>
      <c r="AZ107">
        <v>0</v>
      </c>
      <c r="BA107">
        <v>98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B107">
        <v>0</v>
      </c>
    </row>
    <row r="108" spans="1:80" ht="12.75">
      <c r="A108">
        <f>ROW(Source!A129)</f>
        <v>129</v>
      </c>
      <c r="B108">
        <v>27556793</v>
      </c>
      <c r="C108">
        <v>27556780</v>
      </c>
      <c r="D108">
        <v>24454264</v>
      </c>
      <c r="E108">
        <v>1</v>
      </c>
      <c r="F108">
        <v>1</v>
      </c>
      <c r="G108">
        <v>1</v>
      </c>
      <c r="H108">
        <v>3</v>
      </c>
      <c r="I108" t="s">
        <v>324</v>
      </c>
      <c r="J108" t="s">
        <v>325</v>
      </c>
      <c r="K108" t="s">
        <v>326</v>
      </c>
      <c r="L108">
        <v>1348</v>
      </c>
      <c r="N108">
        <v>1009</v>
      </c>
      <c r="O108" t="s">
        <v>39</v>
      </c>
      <c r="P108" t="s">
        <v>39</v>
      </c>
      <c r="Q108">
        <v>1000</v>
      </c>
      <c r="Y108">
        <v>0.00044</v>
      </c>
      <c r="AA108">
        <v>9749.99</v>
      </c>
      <c r="AB108">
        <v>0</v>
      </c>
      <c r="AC108">
        <v>0</v>
      </c>
      <c r="AD108">
        <v>0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0.00044</v>
      </c>
      <c r="AV108">
        <v>0</v>
      </c>
      <c r="AW108">
        <v>2</v>
      </c>
      <c r="AX108">
        <v>27556793</v>
      </c>
      <c r="AY108">
        <v>1</v>
      </c>
      <c r="AZ108">
        <v>0</v>
      </c>
      <c r="BA108">
        <v>99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B108">
        <v>0</v>
      </c>
    </row>
    <row r="109" spans="1:80" ht="12.75">
      <c r="A109">
        <f>ROW(Source!A129)</f>
        <v>129</v>
      </c>
      <c r="B109">
        <v>27556794</v>
      </c>
      <c r="C109">
        <v>27556780</v>
      </c>
      <c r="D109">
        <v>24454426</v>
      </c>
      <c r="E109">
        <v>1</v>
      </c>
      <c r="F109">
        <v>1</v>
      </c>
      <c r="G109">
        <v>1</v>
      </c>
      <c r="H109">
        <v>3</v>
      </c>
      <c r="I109" t="s">
        <v>327</v>
      </c>
      <c r="J109" t="s">
        <v>328</v>
      </c>
      <c r="K109" t="s">
        <v>329</v>
      </c>
      <c r="L109">
        <v>1348</v>
      </c>
      <c r="N109">
        <v>1009</v>
      </c>
      <c r="O109" t="s">
        <v>39</v>
      </c>
      <c r="P109" t="s">
        <v>39</v>
      </c>
      <c r="Q109">
        <v>1000</v>
      </c>
      <c r="Y109">
        <v>0.021</v>
      </c>
      <c r="AA109">
        <v>9040.01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0.021</v>
      </c>
      <c r="AV109">
        <v>0</v>
      </c>
      <c r="AW109">
        <v>2</v>
      </c>
      <c r="AX109">
        <v>27556794</v>
      </c>
      <c r="AY109">
        <v>1</v>
      </c>
      <c r="AZ109">
        <v>0</v>
      </c>
      <c r="BA109">
        <v>100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B109">
        <v>0</v>
      </c>
    </row>
    <row r="110" spans="1:80" ht="12.75">
      <c r="A110">
        <f>ROW(Source!A129)</f>
        <v>129</v>
      </c>
      <c r="B110">
        <v>27556795</v>
      </c>
      <c r="C110">
        <v>27556780</v>
      </c>
      <c r="D110">
        <v>24454508</v>
      </c>
      <c r="E110">
        <v>1</v>
      </c>
      <c r="F110">
        <v>1</v>
      </c>
      <c r="G110">
        <v>1</v>
      </c>
      <c r="H110">
        <v>3</v>
      </c>
      <c r="I110" t="s">
        <v>330</v>
      </c>
      <c r="J110" t="s">
        <v>331</v>
      </c>
      <c r="K110" t="s">
        <v>332</v>
      </c>
      <c r="L110">
        <v>1348</v>
      </c>
      <c r="N110">
        <v>1009</v>
      </c>
      <c r="O110" t="s">
        <v>39</v>
      </c>
      <c r="P110" t="s">
        <v>39</v>
      </c>
      <c r="Q110">
        <v>1000</v>
      </c>
      <c r="Y110">
        <v>1E-05</v>
      </c>
      <c r="AA110">
        <v>11978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1E-05</v>
      </c>
      <c r="AV110">
        <v>0</v>
      </c>
      <c r="AW110">
        <v>2</v>
      </c>
      <c r="AX110">
        <v>27556795</v>
      </c>
      <c r="AY110">
        <v>1</v>
      </c>
      <c r="AZ110">
        <v>0</v>
      </c>
      <c r="BA110">
        <v>101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B110">
        <v>0</v>
      </c>
    </row>
    <row r="111" spans="1:80" ht="12.75">
      <c r="A111">
        <f>ROW(Source!A129)</f>
        <v>129</v>
      </c>
      <c r="B111">
        <v>27556796</v>
      </c>
      <c r="C111">
        <v>27556780</v>
      </c>
      <c r="D111">
        <v>24454941</v>
      </c>
      <c r="E111">
        <v>1</v>
      </c>
      <c r="F111">
        <v>1</v>
      </c>
      <c r="G111">
        <v>1</v>
      </c>
      <c r="H111">
        <v>3</v>
      </c>
      <c r="I111" t="s">
        <v>333</v>
      </c>
      <c r="J111" t="s">
        <v>334</v>
      </c>
      <c r="K111" t="s">
        <v>335</v>
      </c>
      <c r="L111">
        <v>1346</v>
      </c>
      <c r="N111">
        <v>1009</v>
      </c>
      <c r="O111" t="s">
        <v>336</v>
      </c>
      <c r="P111" t="s">
        <v>336</v>
      </c>
      <c r="Q111">
        <v>1</v>
      </c>
      <c r="Y111">
        <v>0.36</v>
      </c>
      <c r="AA111">
        <v>6.09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0.36</v>
      </c>
      <c r="AV111">
        <v>0</v>
      </c>
      <c r="AW111">
        <v>2</v>
      </c>
      <c r="AX111">
        <v>27556796</v>
      </c>
      <c r="AY111">
        <v>1</v>
      </c>
      <c r="AZ111">
        <v>0</v>
      </c>
      <c r="BA111">
        <v>102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B111">
        <v>0</v>
      </c>
    </row>
    <row r="112" spans="1:80" ht="12.75">
      <c r="A112">
        <f>ROW(Source!A129)</f>
        <v>129</v>
      </c>
      <c r="B112">
        <v>27556797</v>
      </c>
      <c r="C112">
        <v>27556780</v>
      </c>
      <c r="D112">
        <v>24455086</v>
      </c>
      <c r="E112">
        <v>1</v>
      </c>
      <c r="F112">
        <v>1</v>
      </c>
      <c r="G112">
        <v>1</v>
      </c>
      <c r="H112">
        <v>3</v>
      </c>
      <c r="I112" t="s">
        <v>337</v>
      </c>
      <c r="J112" t="s">
        <v>338</v>
      </c>
      <c r="K112" t="s">
        <v>339</v>
      </c>
      <c r="L112">
        <v>1348</v>
      </c>
      <c r="N112">
        <v>1009</v>
      </c>
      <c r="O112" t="s">
        <v>39</v>
      </c>
      <c r="P112" t="s">
        <v>39</v>
      </c>
      <c r="Q112">
        <v>1000</v>
      </c>
      <c r="Y112">
        <v>0.0006</v>
      </c>
      <c r="AA112">
        <v>9420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0.0006</v>
      </c>
      <c r="AV112">
        <v>0</v>
      </c>
      <c r="AW112">
        <v>2</v>
      </c>
      <c r="AX112">
        <v>27556797</v>
      </c>
      <c r="AY112">
        <v>1</v>
      </c>
      <c r="AZ112">
        <v>0</v>
      </c>
      <c r="BA112">
        <v>103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B112">
        <v>0</v>
      </c>
    </row>
    <row r="113" spans="1:80" ht="12.75">
      <c r="A113">
        <f>ROW(Source!A129)</f>
        <v>129</v>
      </c>
      <c r="B113">
        <v>27556798</v>
      </c>
      <c r="C113">
        <v>27556780</v>
      </c>
      <c r="D113">
        <v>24456398</v>
      </c>
      <c r="E113">
        <v>1</v>
      </c>
      <c r="F113">
        <v>1</v>
      </c>
      <c r="G113">
        <v>1</v>
      </c>
      <c r="H113">
        <v>3</v>
      </c>
      <c r="I113" t="s">
        <v>340</v>
      </c>
      <c r="J113" t="s">
        <v>341</v>
      </c>
      <c r="K113" t="s">
        <v>342</v>
      </c>
      <c r="L113">
        <v>1339</v>
      </c>
      <c r="N113">
        <v>1007</v>
      </c>
      <c r="O113" t="s">
        <v>91</v>
      </c>
      <c r="P113" t="s">
        <v>91</v>
      </c>
      <c r="Q113">
        <v>1</v>
      </c>
      <c r="Y113">
        <v>0.00103</v>
      </c>
      <c r="AA113">
        <v>1699.99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0.00103</v>
      </c>
      <c r="AV113">
        <v>0</v>
      </c>
      <c r="AW113">
        <v>2</v>
      </c>
      <c r="AX113">
        <v>27556798</v>
      </c>
      <c r="AY113">
        <v>1</v>
      </c>
      <c r="AZ113">
        <v>0</v>
      </c>
      <c r="BA113">
        <v>104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B113">
        <v>0</v>
      </c>
    </row>
    <row r="114" spans="1:80" ht="12.75">
      <c r="A114">
        <f>ROW(Source!A129)</f>
        <v>129</v>
      </c>
      <c r="B114">
        <v>27556805</v>
      </c>
      <c r="C114">
        <v>27556780</v>
      </c>
      <c r="D114">
        <v>24456846</v>
      </c>
      <c r="E114">
        <v>1</v>
      </c>
      <c r="F114">
        <v>1</v>
      </c>
      <c r="G114">
        <v>1</v>
      </c>
      <c r="H114">
        <v>3</v>
      </c>
      <c r="I114" t="s">
        <v>151</v>
      </c>
      <c r="J114" t="s">
        <v>153</v>
      </c>
      <c r="K114" t="s">
        <v>152</v>
      </c>
      <c r="L114">
        <v>1301</v>
      </c>
      <c r="N114">
        <v>1003</v>
      </c>
      <c r="O114" t="s">
        <v>47</v>
      </c>
      <c r="P114" t="s">
        <v>47</v>
      </c>
      <c r="Q114">
        <v>1</v>
      </c>
      <c r="Y114">
        <v>97.560976</v>
      </c>
      <c r="AA114">
        <v>67.66</v>
      </c>
      <c r="AB114">
        <v>0</v>
      </c>
      <c r="AC114">
        <v>0</v>
      </c>
      <c r="AD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T114">
        <v>97.560976</v>
      </c>
      <c r="AV114">
        <v>0</v>
      </c>
      <c r="AW114">
        <v>1</v>
      </c>
      <c r="AX114">
        <v>-1</v>
      </c>
      <c r="AY114">
        <v>0</v>
      </c>
      <c r="AZ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B114">
        <v>0</v>
      </c>
    </row>
    <row r="115" spans="1:80" ht="12.75">
      <c r="A115">
        <f>ROW(Source!A129)</f>
        <v>129</v>
      </c>
      <c r="B115">
        <v>27556799</v>
      </c>
      <c r="C115">
        <v>27556780</v>
      </c>
      <c r="D115">
        <v>24459559</v>
      </c>
      <c r="E115">
        <v>1</v>
      </c>
      <c r="F115">
        <v>1</v>
      </c>
      <c r="G115">
        <v>1</v>
      </c>
      <c r="H115">
        <v>3</v>
      </c>
      <c r="I115" t="s">
        <v>343</v>
      </c>
      <c r="J115" t="s">
        <v>344</v>
      </c>
      <c r="K115" t="s">
        <v>345</v>
      </c>
      <c r="L115">
        <v>1348</v>
      </c>
      <c r="N115">
        <v>1009</v>
      </c>
      <c r="O115" t="s">
        <v>39</v>
      </c>
      <c r="P115" t="s">
        <v>39</v>
      </c>
      <c r="Q115">
        <v>1000</v>
      </c>
      <c r="Y115">
        <v>0.00031</v>
      </c>
      <c r="AA115">
        <v>15620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0.00031</v>
      </c>
      <c r="AV115">
        <v>0</v>
      </c>
      <c r="AW115">
        <v>2</v>
      </c>
      <c r="AX115">
        <v>27556799</v>
      </c>
      <c r="AY115">
        <v>1</v>
      </c>
      <c r="AZ115">
        <v>0</v>
      </c>
      <c r="BA115">
        <v>105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B115">
        <v>0</v>
      </c>
    </row>
    <row r="116" spans="1:80" ht="12.75">
      <c r="A116">
        <f>ROW(Source!A129)</f>
        <v>129</v>
      </c>
      <c r="B116">
        <v>27556800</v>
      </c>
      <c r="C116">
        <v>27556780</v>
      </c>
      <c r="D116">
        <v>24462194</v>
      </c>
      <c r="E116">
        <v>1</v>
      </c>
      <c r="F116">
        <v>1</v>
      </c>
      <c r="G116">
        <v>1</v>
      </c>
      <c r="H116">
        <v>3</v>
      </c>
      <c r="I116" t="s">
        <v>346</v>
      </c>
      <c r="J116" t="s">
        <v>347</v>
      </c>
      <c r="K116" t="s">
        <v>348</v>
      </c>
      <c r="L116">
        <v>1348</v>
      </c>
      <c r="N116">
        <v>1009</v>
      </c>
      <c r="O116" t="s">
        <v>39</v>
      </c>
      <c r="P116" t="s">
        <v>39</v>
      </c>
      <c r="Q116">
        <v>1000</v>
      </c>
      <c r="Y116">
        <v>0.0002</v>
      </c>
      <c r="AA116">
        <v>7712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0.0002</v>
      </c>
      <c r="AV116">
        <v>0</v>
      </c>
      <c r="AW116">
        <v>2</v>
      </c>
      <c r="AX116">
        <v>27556800</v>
      </c>
      <c r="AY116">
        <v>1</v>
      </c>
      <c r="AZ116">
        <v>0</v>
      </c>
      <c r="BA116">
        <v>106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B116">
        <v>0</v>
      </c>
    </row>
    <row r="117" spans="1:80" ht="12.75">
      <c r="A117">
        <f>ROW(Source!A129)</f>
        <v>129</v>
      </c>
      <c r="B117">
        <v>27556801</v>
      </c>
      <c r="C117">
        <v>27556780</v>
      </c>
      <c r="D117">
        <v>24462500</v>
      </c>
      <c r="E117">
        <v>1</v>
      </c>
      <c r="F117">
        <v>1</v>
      </c>
      <c r="G117">
        <v>1</v>
      </c>
      <c r="H117">
        <v>3</v>
      </c>
      <c r="I117" t="s">
        <v>349</v>
      </c>
      <c r="J117" t="s">
        <v>350</v>
      </c>
      <c r="K117" t="s">
        <v>351</v>
      </c>
      <c r="L117">
        <v>1348</v>
      </c>
      <c r="N117">
        <v>1009</v>
      </c>
      <c r="O117" t="s">
        <v>39</v>
      </c>
      <c r="P117" t="s">
        <v>39</v>
      </c>
      <c r="Q117">
        <v>1000</v>
      </c>
      <c r="Y117">
        <v>1</v>
      </c>
      <c r="AA117">
        <v>0</v>
      </c>
      <c r="AB117">
        <v>0</v>
      </c>
      <c r="AC117">
        <v>0</v>
      </c>
      <c r="AD117">
        <v>0</v>
      </c>
      <c r="AN117">
        <v>1</v>
      </c>
      <c r="AO117">
        <v>0</v>
      </c>
      <c r="AP117">
        <v>0</v>
      </c>
      <c r="AQ117">
        <v>0</v>
      </c>
      <c r="AR117">
        <v>0</v>
      </c>
      <c r="AT117">
        <v>1</v>
      </c>
      <c r="AV117">
        <v>0</v>
      </c>
      <c r="AW117">
        <v>2</v>
      </c>
      <c r="AX117">
        <v>27556801</v>
      </c>
      <c r="AY117">
        <v>1</v>
      </c>
      <c r="AZ117">
        <v>0</v>
      </c>
      <c r="BA117">
        <v>107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B117">
        <v>0</v>
      </c>
    </row>
    <row r="118" spans="1:80" ht="12.75">
      <c r="A118">
        <f>ROW(Source!A129)</f>
        <v>129</v>
      </c>
      <c r="B118">
        <v>27556802</v>
      </c>
      <c r="C118">
        <v>27556780</v>
      </c>
      <c r="D118">
        <v>24481780</v>
      </c>
      <c r="E118">
        <v>1</v>
      </c>
      <c r="F118">
        <v>1</v>
      </c>
      <c r="G118">
        <v>1</v>
      </c>
      <c r="H118">
        <v>3</v>
      </c>
      <c r="I118" t="s">
        <v>352</v>
      </c>
      <c r="J118" t="s">
        <v>353</v>
      </c>
      <c r="K118" t="s">
        <v>354</v>
      </c>
      <c r="L118">
        <v>1302</v>
      </c>
      <c r="N118">
        <v>1003</v>
      </c>
      <c r="O118" t="s">
        <v>355</v>
      </c>
      <c r="P118" t="s">
        <v>355</v>
      </c>
      <c r="Q118">
        <v>10</v>
      </c>
      <c r="Y118">
        <v>0.0187</v>
      </c>
      <c r="AA118">
        <v>71.49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0.0187</v>
      </c>
      <c r="AV118">
        <v>0</v>
      </c>
      <c r="AW118">
        <v>2</v>
      </c>
      <c r="AX118">
        <v>27556802</v>
      </c>
      <c r="AY118">
        <v>1</v>
      </c>
      <c r="AZ118">
        <v>0</v>
      </c>
      <c r="BA118">
        <v>108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B118">
        <v>0</v>
      </c>
    </row>
    <row r="119" spans="1:80" ht="12.75">
      <c r="A119">
        <f>ROW(Source!A131)</f>
        <v>131</v>
      </c>
      <c r="B119">
        <v>27556914</v>
      </c>
      <c r="C119">
        <v>27556913</v>
      </c>
      <c r="D119">
        <v>24509798</v>
      </c>
      <c r="E119">
        <v>1</v>
      </c>
      <c r="F119">
        <v>1</v>
      </c>
      <c r="G119">
        <v>1</v>
      </c>
      <c r="H119">
        <v>1</v>
      </c>
      <c r="I119" t="s">
        <v>356</v>
      </c>
      <c r="K119" t="s">
        <v>357</v>
      </c>
      <c r="L119">
        <v>1369</v>
      </c>
      <c r="N119">
        <v>1013</v>
      </c>
      <c r="O119" t="s">
        <v>225</v>
      </c>
      <c r="P119" t="s">
        <v>225</v>
      </c>
      <c r="Q119">
        <v>1</v>
      </c>
      <c r="Y119">
        <v>5.31</v>
      </c>
      <c r="AA119">
        <v>0</v>
      </c>
      <c r="AB119">
        <v>0</v>
      </c>
      <c r="AC119">
        <v>0</v>
      </c>
      <c r="AD119">
        <v>10.65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5.31</v>
      </c>
      <c r="AV119">
        <v>1</v>
      </c>
      <c r="AW119">
        <v>2</v>
      </c>
      <c r="AX119">
        <v>27556914</v>
      </c>
      <c r="AY119">
        <v>1</v>
      </c>
      <c r="AZ119">
        <v>0</v>
      </c>
      <c r="BA119">
        <v>109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B119">
        <v>0</v>
      </c>
    </row>
    <row r="120" spans="1:80" ht="12.75">
      <c r="A120">
        <f>ROW(Source!A131)</f>
        <v>131</v>
      </c>
      <c r="B120">
        <v>27556915</v>
      </c>
      <c r="C120">
        <v>27556913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28</v>
      </c>
      <c r="K120" t="s">
        <v>226</v>
      </c>
      <c r="L120">
        <v>608254</v>
      </c>
      <c r="N120">
        <v>1013</v>
      </c>
      <c r="O120" t="s">
        <v>227</v>
      </c>
      <c r="P120" t="s">
        <v>227</v>
      </c>
      <c r="Q120">
        <v>1</v>
      </c>
      <c r="Y120">
        <v>0.01</v>
      </c>
      <c r="AA120">
        <v>0</v>
      </c>
      <c r="AB120">
        <v>0</v>
      </c>
      <c r="AC120">
        <v>0</v>
      </c>
      <c r="AD120">
        <v>0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0.01</v>
      </c>
      <c r="AV120">
        <v>2</v>
      </c>
      <c r="AW120">
        <v>2</v>
      </c>
      <c r="AX120">
        <v>27556915</v>
      </c>
      <c r="AY120">
        <v>1</v>
      </c>
      <c r="AZ120">
        <v>0</v>
      </c>
      <c r="BA120">
        <v>110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B120">
        <v>0</v>
      </c>
    </row>
    <row r="121" spans="1:80" ht="12.75">
      <c r="A121">
        <f>ROW(Source!A131)</f>
        <v>131</v>
      </c>
      <c r="B121">
        <v>27556916</v>
      </c>
      <c r="C121">
        <v>27556913</v>
      </c>
      <c r="D121">
        <v>24450908</v>
      </c>
      <c r="E121">
        <v>1</v>
      </c>
      <c r="F121">
        <v>1</v>
      </c>
      <c r="G121">
        <v>1</v>
      </c>
      <c r="H121">
        <v>2</v>
      </c>
      <c r="I121" t="s">
        <v>244</v>
      </c>
      <c r="J121" t="s">
        <v>245</v>
      </c>
      <c r="K121" t="s">
        <v>246</v>
      </c>
      <c r="L121">
        <v>1368</v>
      </c>
      <c r="N121">
        <v>1011</v>
      </c>
      <c r="O121" t="s">
        <v>231</v>
      </c>
      <c r="P121" t="s">
        <v>231</v>
      </c>
      <c r="Q121">
        <v>1</v>
      </c>
      <c r="Y121">
        <v>0.01</v>
      </c>
      <c r="AA121">
        <v>0</v>
      </c>
      <c r="AB121">
        <v>99.89</v>
      </c>
      <c r="AC121">
        <v>10.06</v>
      </c>
      <c r="AD121">
        <v>0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0.01</v>
      </c>
      <c r="AV121">
        <v>0</v>
      </c>
      <c r="AW121">
        <v>2</v>
      </c>
      <c r="AX121">
        <v>27556916</v>
      </c>
      <c r="AY121">
        <v>1</v>
      </c>
      <c r="AZ121">
        <v>0</v>
      </c>
      <c r="BA121">
        <v>111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B121">
        <v>0</v>
      </c>
    </row>
    <row r="122" spans="1:80" ht="12.75">
      <c r="A122">
        <f>ROW(Source!A131)</f>
        <v>131</v>
      </c>
      <c r="B122">
        <v>27556917</v>
      </c>
      <c r="C122">
        <v>27556913</v>
      </c>
      <c r="D122">
        <v>24450934</v>
      </c>
      <c r="E122">
        <v>1</v>
      </c>
      <c r="F122">
        <v>1</v>
      </c>
      <c r="G122">
        <v>1</v>
      </c>
      <c r="H122">
        <v>2</v>
      </c>
      <c r="I122" t="s">
        <v>358</v>
      </c>
      <c r="J122" t="s">
        <v>359</v>
      </c>
      <c r="K122" t="s">
        <v>360</v>
      </c>
      <c r="L122">
        <v>1368</v>
      </c>
      <c r="N122">
        <v>1011</v>
      </c>
      <c r="O122" t="s">
        <v>231</v>
      </c>
      <c r="P122" t="s">
        <v>231</v>
      </c>
      <c r="Q122">
        <v>1</v>
      </c>
      <c r="Y122">
        <v>0.01</v>
      </c>
      <c r="AA122">
        <v>0</v>
      </c>
      <c r="AB122">
        <v>1.7</v>
      </c>
      <c r="AC122">
        <v>0</v>
      </c>
      <c r="AD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0.01</v>
      </c>
      <c r="AV122">
        <v>0</v>
      </c>
      <c r="AW122">
        <v>2</v>
      </c>
      <c r="AX122">
        <v>27556917</v>
      </c>
      <c r="AY122">
        <v>1</v>
      </c>
      <c r="AZ122">
        <v>0</v>
      </c>
      <c r="BA122">
        <v>112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B122">
        <v>0</v>
      </c>
    </row>
    <row r="123" spans="1:80" ht="12.75">
      <c r="A123">
        <f>ROW(Source!A131)</f>
        <v>131</v>
      </c>
      <c r="B123">
        <v>27556918</v>
      </c>
      <c r="C123">
        <v>27556913</v>
      </c>
      <c r="D123">
        <v>24452373</v>
      </c>
      <c r="E123">
        <v>1</v>
      </c>
      <c r="F123">
        <v>1</v>
      </c>
      <c r="G123">
        <v>1</v>
      </c>
      <c r="H123">
        <v>2</v>
      </c>
      <c r="I123" t="s">
        <v>361</v>
      </c>
      <c r="J123" t="s">
        <v>362</v>
      </c>
      <c r="K123" t="s">
        <v>363</v>
      </c>
      <c r="L123">
        <v>1368</v>
      </c>
      <c r="N123">
        <v>1011</v>
      </c>
      <c r="O123" t="s">
        <v>231</v>
      </c>
      <c r="P123" t="s">
        <v>231</v>
      </c>
      <c r="Q123">
        <v>1</v>
      </c>
      <c r="Y123">
        <v>1.12</v>
      </c>
      <c r="AA123">
        <v>0</v>
      </c>
      <c r="AB123">
        <v>6.82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1.12</v>
      </c>
      <c r="AV123">
        <v>0</v>
      </c>
      <c r="AW123">
        <v>2</v>
      </c>
      <c r="AX123">
        <v>27556918</v>
      </c>
      <c r="AY123">
        <v>1</v>
      </c>
      <c r="AZ123">
        <v>0</v>
      </c>
      <c r="BA123">
        <v>113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B123">
        <v>0</v>
      </c>
    </row>
    <row r="124" spans="1:80" ht="12.75">
      <c r="A124">
        <f>ROW(Source!A131)</f>
        <v>131</v>
      </c>
      <c r="B124">
        <v>27556919</v>
      </c>
      <c r="C124">
        <v>27556913</v>
      </c>
      <c r="D124">
        <v>24452575</v>
      </c>
      <c r="E124">
        <v>1</v>
      </c>
      <c r="F124">
        <v>1</v>
      </c>
      <c r="G124">
        <v>1</v>
      </c>
      <c r="H124">
        <v>2</v>
      </c>
      <c r="I124" t="s">
        <v>253</v>
      </c>
      <c r="J124" t="s">
        <v>254</v>
      </c>
      <c r="K124" t="s">
        <v>255</v>
      </c>
      <c r="L124">
        <v>1368</v>
      </c>
      <c r="N124">
        <v>1011</v>
      </c>
      <c r="O124" t="s">
        <v>231</v>
      </c>
      <c r="P124" t="s">
        <v>231</v>
      </c>
      <c r="Q124">
        <v>1</v>
      </c>
      <c r="Y124">
        <v>0.01</v>
      </c>
      <c r="AA124">
        <v>0</v>
      </c>
      <c r="AB124">
        <v>87.17</v>
      </c>
      <c r="AC124">
        <v>11.6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0.01</v>
      </c>
      <c r="AV124">
        <v>0</v>
      </c>
      <c r="AW124">
        <v>2</v>
      </c>
      <c r="AX124">
        <v>27556919</v>
      </c>
      <c r="AY124">
        <v>1</v>
      </c>
      <c r="AZ124">
        <v>0</v>
      </c>
      <c r="BA124">
        <v>114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B124">
        <v>0</v>
      </c>
    </row>
    <row r="125" spans="1:80" ht="12.75">
      <c r="A125">
        <f>ROW(Source!A131)</f>
        <v>131</v>
      </c>
      <c r="B125">
        <v>27556920</v>
      </c>
      <c r="C125">
        <v>27556913</v>
      </c>
      <c r="D125">
        <v>24459559</v>
      </c>
      <c r="E125">
        <v>1</v>
      </c>
      <c r="F125">
        <v>1</v>
      </c>
      <c r="G125">
        <v>1</v>
      </c>
      <c r="H125">
        <v>3</v>
      </c>
      <c r="I125" t="s">
        <v>343</v>
      </c>
      <c r="J125" t="s">
        <v>344</v>
      </c>
      <c r="K125" t="s">
        <v>345</v>
      </c>
      <c r="L125">
        <v>1348</v>
      </c>
      <c r="N125">
        <v>1009</v>
      </c>
      <c r="O125" t="s">
        <v>39</v>
      </c>
      <c r="P125" t="s">
        <v>39</v>
      </c>
      <c r="Q125">
        <v>1000</v>
      </c>
      <c r="Y125">
        <v>0.012</v>
      </c>
      <c r="AA125">
        <v>15620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0.012</v>
      </c>
      <c r="AV125">
        <v>0</v>
      </c>
      <c r="AW125">
        <v>2</v>
      </c>
      <c r="AX125">
        <v>27556920</v>
      </c>
      <c r="AY125">
        <v>1</v>
      </c>
      <c r="AZ125">
        <v>0</v>
      </c>
      <c r="BA125">
        <v>115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B125">
        <v>0</v>
      </c>
    </row>
    <row r="126" spans="1:80" ht="12.75">
      <c r="A126">
        <f>ROW(Source!A131)</f>
        <v>131</v>
      </c>
      <c r="B126">
        <v>27556921</v>
      </c>
      <c r="C126">
        <v>27556913</v>
      </c>
      <c r="D126">
        <v>24459582</v>
      </c>
      <c r="E126">
        <v>1</v>
      </c>
      <c r="F126">
        <v>1</v>
      </c>
      <c r="G126">
        <v>1</v>
      </c>
      <c r="H126">
        <v>3</v>
      </c>
      <c r="I126" t="s">
        <v>364</v>
      </c>
      <c r="J126" t="s">
        <v>365</v>
      </c>
      <c r="K126" t="s">
        <v>366</v>
      </c>
      <c r="L126">
        <v>1348</v>
      </c>
      <c r="N126">
        <v>1009</v>
      </c>
      <c r="O126" t="s">
        <v>39</v>
      </c>
      <c r="P126" t="s">
        <v>39</v>
      </c>
      <c r="Q126">
        <v>1000</v>
      </c>
      <c r="Y126">
        <v>0.002</v>
      </c>
      <c r="AA126">
        <v>7640.01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0.002</v>
      </c>
      <c r="AV126">
        <v>0</v>
      </c>
      <c r="AW126">
        <v>2</v>
      </c>
      <c r="AX126">
        <v>27556921</v>
      </c>
      <c r="AY126">
        <v>1</v>
      </c>
      <c r="AZ126">
        <v>0</v>
      </c>
      <c r="BA126">
        <v>116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B126">
        <v>0</v>
      </c>
    </row>
    <row r="127" spans="1:80" ht="12.75">
      <c r="A127">
        <f>ROW(Source!A132)</f>
        <v>132</v>
      </c>
      <c r="B127">
        <v>27556923</v>
      </c>
      <c r="C127">
        <v>27556922</v>
      </c>
      <c r="D127">
        <v>24504896</v>
      </c>
      <c r="E127">
        <v>1</v>
      </c>
      <c r="F127">
        <v>1</v>
      </c>
      <c r="G127">
        <v>1</v>
      </c>
      <c r="H127">
        <v>1</v>
      </c>
      <c r="I127" t="s">
        <v>223</v>
      </c>
      <c r="K127" t="s">
        <v>224</v>
      </c>
      <c r="L127">
        <v>1369</v>
      </c>
      <c r="N127">
        <v>1013</v>
      </c>
      <c r="O127" t="s">
        <v>225</v>
      </c>
      <c r="P127" t="s">
        <v>225</v>
      </c>
      <c r="Q127">
        <v>1</v>
      </c>
      <c r="Y127">
        <v>3.83</v>
      </c>
      <c r="AA127">
        <v>0</v>
      </c>
      <c r="AB127">
        <v>0</v>
      </c>
      <c r="AC127">
        <v>0</v>
      </c>
      <c r="AD127">
        <v>9.07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3.83</v>
      </c>
      <c r="AV127">
        <v>1</v>
      </c>
      <c r="AW127">
        <v>2</v>
      </c>
      <c r="AX127">
        <v>27556931</v>
      </c>
      <c r="AY127">
        <v>1</v>
      </c>
      <c r="AZ127">
        <v>0</v>
      </c>
      <c r="BA127">
        <v>117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B127">
        <v>0</v>
      </c>
    </row>
    <row r="128" spans="1:80" ht="12.75">
      <c r="A128">
        <f>ROW(Source!A132)</f>
        <v>132</v>
      </c>
      <c r="B128">
        <v>27556924</v>
      </c>
      <c r="C128">
        <v>27556922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28</v>
      </c>
      <c r="K128" t="s">
        <v>226</v>
      </c>
      <c r="L128">
        <v>608254</v>
      </c>
      <c r="N128">
        <v>1013</v>
      </c>
      <c r="O128" t="s">
        <v>227</v>
      </c>
      <c r="P128" t="s">
        <v>227</v>
      </c>
      <c r="Q128">
        <v>1</v>
      </c>
      <c r="Y128">
        <v>0.01</v>
      </c>
      <c r="AA128">
        <v>0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0.01</v>
      </c>
      <c r="AV128">
        <v>2</v>
      </c>
      <c r="AW128">
        <v>2</v>
      </c>
      <c r="AX128">
        <v>27556932</v>
      </c>
      <c r="AY128">
        <v>1</v>
      </c>
      <c r="AZ128">
        <v>0</v>
      </c>
      <c r="BA128">
        <v>118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B128">
        <v>0</v>
      </c>
    </row>
    <row r="129" spans="1:80" ht="12.75">
      <c r="A129">
        <f>ROW(Source!A132)</f>
        <v>132</v>
      </c>
      <c r="B129">
        <v>27556925</v>
      </c>
      <c r="C129">
        <v>27556922</v>
      </c>
      <c r="D129">
        <v>24450908</v>
      </c>
      <c r="E129">
        <v>1</v>
      </c>
      <c r="F129">
        <v>1</v>
      </c>
      <c r="G129">
        <v>1</v>
      </c>
      <c r="H129">
        <v>2</v>
      </c>
      <c r="I129" t="s">
        <v>244</v>
      </c>
      <c r="J129" t="s">
        <v>245</v>
      </c>
      <c r="K129" t="s">
        <v>246</v>
      </c>
      <c r="L129">
        <v>1368</v>
      </c>
      <c r="N129">
        <v>1011</v>
      </c>
      <c r="O129" t="s">
        <v>231</v>
      </c>
      <c r="P129" t="s">
        <v>231</v>
      </c>
      <c r="Q129">
        <v>1</v>
      </c>
      <c r="Y129">
        <v>0.01</v>
      </c>
      <c r="AA129">
        <v>0</v>
      </c>
      <c r="AB129">
        <v>99.89</v>
      </c>
      <c r="AC129">
        <v>10.06</v>
      </c>
      <c r="AD129">
        <v>0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0.01</v>
      </c>
      <c r="AV129">
        <v>0</v>
      </c>
      <c r="AW129">
        <v>2</v>
      </c>
      <c r="AX129">
        <v>27556933</v>
      </c>
      <c r="AY129">
        <v>1</v>
      </c>
      <c r="AZ129">
        <v>0</v>
      </c>
      <c r="BA129">
        <v>119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B129">
        <v>0</v>
      </c>
    </row>
    <row r="130" spans="1:80" ht="12.75">
      <c r="A130">
        <f>ROW(Source!A132)</f>
        <v>132</v>
      </c>
      <c r="B130">
        <v>27556926</v>
      </c>
      <c r="C130">
        <v>27556922</v>
      </c>
      <c r="D130">
        <v>24450934</v>
      </c>
      <c r="E130">
        <v>1</v>
      </c>
      <c r="F130">
        <v>1</v>
      </c>
      <c r="G130">
        <v>1</v>
      </c>
      <c r="H130">
        <v>2</v>
      </c>
      <c r="I130" t="s">
        <v>358</v>
      </c>
      <c r="J130" t="s">
        <v>359</v>
      </c>
      <c r="K130" t="s">
        <v>360</v>
      </c>
      <c r="L130">
        <v>1368</v>
      </c>
      <c r="N130">
        <v>1011</v>
      </c>
      <c r="O130" t="s">
        <v>231</v>
      </c>
      <c r="P130" t="s">
        <v>231</v>
      </c>
      <c r="Q130">
        <v>1</v>
      </c>
      <c r="Y130">
        <v>0.01</v>
      </c>
      <c r="AA130">
        <v>0</v>
      </c>
      <c r="AB130">
        <v>1.7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0.01</v>
      </c>
      <c r="AV130">
        <v>0</v>
      </c>
      <c r="AW130">
        <v>2</v>
      </c>
      <c r="AX130">
        <v>27556934</v>
      </c>
      <c r="AY130">
        <v>1</v>
      </c>
      <c r="AZ130">
        <v>0</v>
      </c>
      <c r="BA130">
        <v>120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B130">
        <v>0</v>
      </c>
    </row>
    <row r="131" spans="1:80" ht="12.75">
      <c r="A131">
        <f>ROW(Source!A132)</f>
        <v>132</v>
      </c>
      <c r="B131">
        <v>27556927</v>
      </c>
      <c r="C131">
        <v>27556922</v>
      </c>
      <c r="D131">
        <v>24452373</v>
      </c>
      <c r="E131">
        <v>1</v>
      </c>
      <c r="F131">
        <v>1</v>
      </c>
      <c r="G131">
        <v>1</v>
      </c>
      <c r="H131">
        <v>2</v>
      </c>
      <c r="I131" t="s">
        <v>361</v>
      </c>
      <c r="J131" t="s">
        <v>362</v>
      </c>
      <c r="K131" t="s">
        <v>363</v>
      </c>
      <c r="L131">
        <v>1368</v>
      </c>
      <c r="N131">
        <v>1011</v>
      </c>
      <c r="O131" t="s">
        <v>231</v>
      </c>
      <c r="P131" t="s">
        <v>231</v>
      </c>
      <c r="Q131">
        <v>1</v>
      </c>
      <c r="Y131">
        <v>0.65</v>
      </c>
      <c r="AA131">
        <v>0</v>
      </c>
      <c r="AB131">
        <v>6.82</v>
      </c>
      <c r="AC131">
        <v>0</v>
      </c>
      <c r="AD131">
        <v>0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0.65</v>
      </c>
      <c r="AV131">
        <v>0</v>
      </c>
      <c r="AW131">
        <v>2</v>
      </c>
      <c r="AX131">
        <v>27556935</v>
      </c>
      <c r="AY131">
        <v>1</v>
      </c>
      <c r="AZ131">
        <v>0</v>
      </c>
      <c r="BA131">
        <v>121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B131">
        <v>0</v>
      </c>
    </row>
    <row r="132" spans="1:80" ht="12.75">
      <c r="A132">
        <f>ROW(Source!A132)</f>
        <v>132</v>
      </c>
      <c r="B132">
        <v>27556928</v>
      </c>
      <c r="C132">
        <v>27556922</v>
      </c>
      <c r="D132">
        <v>24452575</v>
      </c>
      <c r="E132">
        <v>1</v>
      </c>
      <c r="F132">
        <v>1</v>
      </c>
      <c r="G132">
        <v>1</v>
      </c>
      <c r="H132">
        <v>2</v>
      </c>
      <c r="I132" t="s">
        <v>253</v>
      </c>
      <c r="J132" t="s">
        <v>254</v>
      </c>
      <c r="K132" t="s">
        <v>255</v>
      </c>
      <c r="L132">
        <v>1368</v>
      </c>
      <c r="N132">
        <v>1011</v>
      </c>
      <c r="O132" t="s">
        <v>231</v>
      </c>
      <c r="P132" t="s">
        <v>231</v>
      </c>
      <c r="Q132">
        <v>1</v>
      </c>
      <c r="Y132">
        <v>0.01</v>
      </c>
      <c r="AA132">
        <v>0</v>
      </c>
      <c r="AB132">
        <v>87.17</v>
      </c>
      <c r="AC132">
        <v>11.6</v>
      </c>
      <c r="AD132">
        <v>0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0.01</v>
      </c>
      <c r="AV132">
        <v>0</v>
      </c>
      <c r="AW132">
        <v>2</v>
      </c>
      <c r="AX132">
        <v>27556936</v>
      </c>
      <c r="AY132">
        <v>1</v>
      </c>
      <c r="AZ132">
        <v>0</v>
      </c>
      <c r="BA132">
        <v>122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B132">
        <v>0</v>
      </c>
    </row>
    <row r="133" spans="1:80" ht="12.75">
      <c r="A133">
        <f>ROW(Source!A132)</f>
        <v>132</v>
      </c>
      <c r="B133">
        <v>27556929</v>
      </c>
      <c r="C133">
        <v>27556922</v>
      </c>
      <c r="D133">
        <v>24454182</v>
      </c>
      <c r="E133">
        <v>1</v>
      </c>
      <c r="F133">
        <v>1</v>
      </c>
      <c r="G133">
        <v>1</v>
      </c>
      <c r="H133">
        <v>3</v>
      </c>
      <c r="I133" t="s">
        <v>367</v>
      </c>
      <c r="J133" t="s">
        <v>368</v>
      </c>
      <c r="K133" t="s">
        <v>369</v>
      </c>
      <c r="L133">
        <v>1348</v>
      </c>
      <c r="N133">
        <v>1009</v>
      </c>
      <c r="O133" t="s">
        <v>39</v>
      </c>
      <c r="P133" t="s">
        <v>39</v>
      </c>
      <c r="Q133">
        <v>1000</v>
      </c>
      <c r="Y133">
        <v>0.0014</v>
      </c>
      <c r="AA133">
        <v>6667.01</v>
      </c>
      <c r="AB133">
        <v>0</v>
      </c>
      <c r="AC133">
        <v>0</v>
      </c>
      <c r="AD133">
        <v>0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0.0014</v>
      </c>
      <c r="AV133">
        <v>0</v>
      </c>
      <c r="AW133">
        <v>2</v>
      </c>
      <c r="AX133">
        <v>27556937</v>
      </c>
      <c r="AY133">
        <v>1</v>
      </c>
      <c r="AZ133">
        <v>0</v>
      </c>
      <c r="BA133">
        <v>123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B133">
        <v>0</v>
      </c>
    </row>
    <row r="134" spans="1:80" ht="12.75">
      <c r="A134">
        <f>ROW(Source!A132)</f>
        <v>132</v>
      </c>
      <c r="B134">
        <v>27556930</v>
      </c>
      <c r="C134">
        <v>27556922</v>
      </c>
      <c r="D134">
        <v>24459631</v>
      </c>
      <c r="E134">
        <v>1</v>
      </c>
      <c r="F134">
        <v>1</v>
      </c>
      <c r="G134">
        <v>1</v>
      </c>
      <c r="H134">
        <v>3</v>
      </c>
      <c r="I134" t="s">
        <v>370</v>
      </c>
      <c r="J134" t="s">
        <v>371</v>
      </c>
      <c r="K134" t="s">
        <v>372</v>
      </c>
      <c r="L134">
        <v>1348</v>
      </c>
      <c r="N134">
        <v>1009</v>
      </c>
      <c r="O134" t="s">
        <v>39</v>
      </c>
      <c r="P134" t="s">
        <v>39</v>
      </c>
      <c r="Q134">
        <v>1000</v>
      </c>
      <c r="Y134">
        <v>0.019</v>
      </c>
      <c r="AA134">
        <v>14985.76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0.019</v>
      </c>
      <c r="AV134">
        <v>0</v>
      </c>
      <c r="AW134">
        <v>2</v>
      </c>
      <c r="AX134">
        <v>27556938</v>
      </c>
      <c r="AY134">
        <v>1</v>
      </c>
      <c r="AZ134">
        <v>0</v>
      </c>
      <c r="BA134">
        <v>124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B13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1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27554364</v>
      </c>
      <c r="C1">
        <v>27554360</v>
      </c>
      <c r="D1">
        <v>24504896</v>
      </c>
      <c r="E1">
        <v>1</v>
      </c>
      <c r="F1">
        <v>1</v>
      </c>
      <c r="G1">
        <v>1</v>
      </c>
      <c r="H1">
        <v>1</v>
      </c>
      <c r="I1" t="s">
        <v>223</v>
      </c>
      <c r="K1" t="s">
        <v>224</v>
      </c>
      <c r="L1">
        <v>1369</v>
      </c>
      <c r="N1">
        <v>1013</v>
      </c>
      <c r="O1" t="s">
        <v>225</v>
      </c>
      <c r="P1" t="s">
        <v>225</v>
      </c>
      <c r="Q1">
        <v>1</v>
      </c>
      <c r="X1">
        <v>13.34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G1">
        <v>13.34</v>
      </c>
      <c r="AH1">
        <v>2</v>
      </c>
      <c r="AI1">
        <v>27554361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27554365</v>
      </c>
      <c r="C2">
        <v>27554360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226</v>
      </c>
      <c r="L2">
        <v>608254</v>
      </c>
      <c r="N2">
        <v>1013</v>
      </c>
      <c r="O2" t="s">
        <v>227</v>
      </c>
      <c r="P2" t="s">
        <v>227</v>
      </c>
      <c r="Q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</v>
      </c>
      <c r="AH2">
        <v>2</v>
      </c>
      <c r="AI2">
        <v>27554362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27554366</v>
      </c>
      <c r="C3">
        <v>27554360</v>
      </c>
      <c r="D3">
        <v>24452341</v>
      </c>
      <c r="E3">
        <v>1</v>
      </c>
      <c r="F3">
        <v>1</v>
      </c>
      <c r="G3">
        <v>1</v>
      </c>
      <c r="H3">
        <v>2</v>
      </c>
      <c r="I3" t="s">
        <v>228</v>
      </c>
      <c r="J3" t="s">
        <v>229</v>
      </c>
      <c r="K3" t="s">
        <v>230</v>
      </c>
      <c r="L3">
        <v>1368</v>
      </c>
      <c r="N3">
        <v>1011</v>
      </c>
      <c r="O3" t="s">
        <v>231</v>
      </c>
      <c r="P3" t="s">
        <v>231</v>
      </c>
      <c r="Q3">
        <v>1</v>
      </c>
      <c r="X3">
        <v>6.48</v>
      </c>
      <c r="Y3">
        <v>0</v>
      </c>
      <c r="Z3">
        <v>5.09</v>
      </c>
      <c r="AA3">
        <v>0</v>
      </c>
      <c r="AB3">
        <v>0</v>
      </c>
      <c r="AC3">
        <v>0</v>
      </c>
      <c r="AD3">
        <v>1</v>
      </c>
      <c r="AE3">
        <v>0</v>
      </c>
      <c r="AG3">
        <v>6.48</v>
      </c>
      <c r="AH3">
        <v>2</v>
      </c>
      <c r="AI3">
        <v>27554363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27554371</v>
      </c>
      <c r="C4">
        <v>27554370</v>
      </c>
      <c r="D4">
        <v>24505677</v>
      </c>
      <c r="E4">
        <v>1</v>
      </c>
      <c r="F4">
        <v>1</v>
      </c>
      <c r="G4">
        <v>1</v>
      </c>
      <c r="H4">
        <v>1</v>
      </c>
      <c r="I4" t="s">
        <v>232</v>
      </c>
      <c r="K4" t="s">
        <v>233</v>
      </c>
      <c r="L4">
        <v>1369</v>
      </c>
      <c r="N4">
        <v>1013</v>
      </c>
      <c r="O4" t="s">
        <v>225</v>
      </c>
      <c r="P4" t="s">
        <v>225</v>
      </c>
      <c r="Q4">
        <v>1</v>
      </c>
      <c r="X4">
        <v>2.07</v>
      </c>
      <c r="Y4">
        <v>0</v>
      </c>
      <c r="Z4">
        <v>0</v>
      </c>
      <c r="AA4">
        <v>0</v>
      </c>
      <c r="AB4">
        <v>8.46</v>
      </c>
      <c r="AC4">
        <v>0</v>
      </c>
      <c r="AD4">
        <v>1</v>
      </c>
      <c r="AE4">
        <v>1</v>
      </c>
      <c r="AG4">
        <v>2.07</v>
      </c>
      <c r="AH4">
        <v>2</v>
      </c>
      <c r="AI4">
        <v>27554371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27554372</v>
      </c>
      <c r="C5">
        <v>27554370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28</v>
      </c>
      <c r="K5" t="s">
        <v>226</v>
      </c>
      <c r="L5">
        <v>608254</v>
      </c>
      <c r="N5">
        <v>1013</v>
      </c>
      <c r="O5" t="s">
        <v>227</v>
      </c>
      <c r="P5" t="s">
        <v>227</v>
      </c>
      <c r="Q5">
        <v>1</v>
      </c>
      <c r="X5">
        <v>1.86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G5">
        <v>1.86</v>
      </c>
      <c r="AH5">
        <v>2</v>
      </c>
      <c r="AI5">
        <v>27554372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27554373</v>
      </c>
      <c r="C6">
        <v>27554370</v>
      </c>
      <c r="D6">
        <v>24450975</v>
      </c>
      <c r="E6">
        <v>1</v>
      </c>
      <c r="F6">
        <v>1</v>
      </c>
      <c r="G6">
        <v>1</v>
      </c>
      <c r="H6">
        <v>2</v>
      </c>
      <c r="I6" t="s">
        <v>234</v>
      </c>
      <c r="J6" t="s">
        <v>235</v>
      </c>
      <c r="K6" t="s">
        <v>236</v>
      </c>
      <c r="L6">
        <v>1368</v>
      </c>
      <c r="N6">
        <v>1011</v>
      </c>
      <c r="O6" t="s">
        <v>231</v>
      </c>
      <c r="P6" t="s">
        <v>231</v>
      </c>
      <c r="Q6">
        <v>1</v>
      </c>
      <c r="X6">
        <v>1.86</v>
      </c>
      <c r="Y6">
        <v>0</v>
      </c>
      <c r="Z6">
        <v>270</v>
      </c>
      <c r="AA6">
        <v>15.42</v>
      </c>
      <c r="AB6">
        <v>0</v>
      </c>
      <c r="AC6">
        <v>0</v>
      </c>
      <c r="AD6">
        <v>1</v>
      </c>
      <c r="AE6">
        <v>0</v>
      </c>
      <c r="AG6">
        <v>1.86</v>
      </c>
      <c r="AH6">
        <v>2</v>
      </c>
      <c r="AI6">
        <v>27554373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27554960</v>
      </c>
      <c r="C7">
        <v>27554959</v>
      </c>
      <c r="D7">
        <v>24505677</v>
      </c>
      <c r="E7">
        <v>1</v>
      </c>
      <c r="F7">
        <v>1</v>
      </c>
      <c r="G7">
        <v>1</v>
      </c>
      <c r="H7">
        <v>1</v>
      </c>
      <c r="I7" t="s">
        <v>232</v>
      </c>
      <c r="K7" t="s">
        <v>233</v>
      </c>
      <c r="L7">
        <v>1369</v>
      </c>
      <c r="N7">
        <v>1013</v>
      </c>
      <c r="O7" t="s">
        <v>225</v>
      </c>
      <c r="P7" t="s">
        <v>225</v>
      </c>
      <c r="Q7">
        <v>1</v>
      </c>
      <c r="X7">
        <v>0.53</v>
      </c>
      <c r="Y7">
        <v>0</v>
      </c>
      <c r="Z7">
        <v>0</v>
      </c>
      <c r="AA7">
        <v>0</v>
      </c>
      <c r="AB7">
        <v>8.46</v>
      </c>
      <c r="AC7">
        <v>0</v>
      </c>
      <c r="AD7">
        <v>1</v>
      </c>
      <c r="AE7">
        <v>1</v>
      </c>
      <c r="AG7">
        <v>0.53</v>
      </c>
      <c r="AH7">
        <v>2</v>
      </c>
      <c r="AI7">
        <v>27554960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27554961</v>
      </c>
      <c r="C8">
        <v>27554959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28</v>
      </c>
      <c r="K8" t="s">
        <v>226</v>
      </c>
      <c r="L8">
        <v>608254</v>
      </c>
      <c r="N8">
        <v>1013</v>
      </c>
      <c r="O8" t="s">
        <v>227</v>
      </c>
      <c r="P8" t="s">
        <v>227</v>
      </c>
      <c r="Q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G8">
        <v>0</v>
      </c>
      <c r="AH8">
        <v>2</v>
      </c>
      <c r="AI8">
        <v>27554961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ROW(Source!A33)</f>
        <v>33</v>
      </c>
      <c r="B9">
        <v>27554969</v>
      </c>
      <c r="C9">
        <v>27554968</v>
      </c>
      <c r="D9">
        <v>24504205</v>
      </c>
      <c r="E9">
        <v>1</v>
      </c>
      <c r="F9">
        <v>1</v>
      </c>
      <c r="G9">
        <v>1</v>
      </c>
      <c r="H9">
        <v>1</v>
      </c>
      <c r="I9" t="s">
        <v>237</v>
      </c>
      <c r="K9" t="s">
        <v>238</v>
      </c>
      <c r="L9">
        <v>1369</v>
      </c>
      <c r="N9">
        <v>1013</v>
      </c>
      <c r="O9" t="s">
        <v>225</v>
      </c>
      <c r="P9" t="s">
        <v>225</v>
      </c>
      <c r="Q9">
        <v>1</v>
      </c>
      <c r="X9">
        <v>0.25</v>
      </c>
      <c r="Y9">
        <v>0</v>
      </c>
      <c r="Z9">
        <v>0</v>
      </c>
      <c r="AA9">
        <v>0</v>
      </c>
      <c r="AB9">
        <v>7.68</v>
      </c>
      <c r="AC9">
        <v>0</v>
      </c>
      <c r="AD9">
        <v>1</v>
      </c>
      <c r="AE9">
        <v>1</v>
      </c>
      <c r="AG9">
        <v>0.25</v>
      </c>
      <c r="AH9">
        <v>2</v>
      </c>
      <c r="AI9">
        <v>27554969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ROW(Source!A33)</f>
        <v>33</v>
      </c>
      <c r="B10">
        <v>27554970</v>
      </c>
      <c r="C10">
        <v>27554968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28</v>
      </c>
      <c r="K10" t="s">
        <v>226</v>
      </c>
      <c r="L10">
        <v>608254</v>
      </c>
      <c r="N10">
        <v>1013</v>
      </c>
      <c r="O10" t="s">
        <v>227</v>
      </c>
      <c r="P10" t="s">
        <v>227</v>
      </c>
      <c r="Q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G10">
        <v>0</v>
      </c>
      <c r="AH10">
        <v>2</v>
      </c>
      <c r="AI10">
        <v>27554970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ROW(Source!A34)</f>
        <v>34</v>
      </c>
      <c r="B11">
        <v>27555270</v>
      </c>
      <c r="C11">
        <v>27555269</v>
      </c>
      <c r="D11">
        <v>24508406</v>
      </c>
      <c r="E11">
        <v>1</v>
      </c>
      <c r="F11">
        <v>1</v>
      </c>
      <c r="G11">
        <v>1</v>
      </c>
      <c r="H11">
        <v>1</v>
      </c>
      <c r="I11" t="s">
        <v>239</v>
      </c>
      <c r="K11" t="s">
        <v>240</v>
      </c>
      <c r="L11">
        <v>1369</v>
      </c>
      <c r="N11">
        <v>1013</v>
      </c>
      <c r="O11" t="s">
        <v>225</v>
      </c>
      <c r="P11" t="s">
        <v>225</v>
      </c>
      <c r="Q11">
        <v>1</v>
      </c>
      <c r="X11">
        <v>430.55</v>
      </c>
      <c r="Y11">
        <v>0</v>
      </c>
      <c r="Z11">
        <v>0</v>
      </c>
      <c r="AA11">
        <v>0</v>
      </c>
      <c r="AB11">
        <v>9.18</v>
      </c>
      <c r="AC11">
        <v>0</v>
      </c>
      <c r="AD11">
        <v>1</v>
      </c>
      <c r="AE11">
        <v>1</v>
      </c>
      <c r="AF11" t="s">
        <v>57</v>
      </c>
      <c r="AG11">
        <v>301.385</v>
      </c>
      <c r="AH11">
        <v>2</v>
      </c>
      <c r="AI11">
        <v>27555270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ROW(Source!A34)</f>
        <v>34</v>
      </c>
      <c r="B12">
        <v>27555271</v>
      </c>
      <c r="C12">
        <v>27555269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28</v>
      </c>
      <c r="K12" t="s">
        <v>226</v>
      </c>
      <c r="L12">
        <v>608254</v>
      </c>
      <c r="N12">
        <v>1013</v>
      </c>
      <c r="O12" t="s">
        <v>227</v>
      </c>
      <c r="P12" t="s">
        <v>227</v>
      </c>
      <c r="Q12">
        <v>1</v>
      </c>
      <c r="X12">
        <v>102.92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57</v>
      </c>
      <c r="AG12">
        <v>72.044</v>
      </c>
      <c r="AH12">
        <v>2</v>
      </c>
      <c r="AI12">
        <v>27555271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ROW(Source!A34)</f>
        <v>34</v>
      </c>
      <c r="B13">
        <v>27555272</v>
      </c>
      <c r="C13">
        <v>27555269</v>
      </c>
      <c r="D13">
        <v>24450839</v>
      </c>
      <c r="E13">
        <v>1</v>
      </c>
      <c r="F13">
        <v>1</v>
      </c>
      <c r="G13">
        <v>1</v>
      </c>
      <c r="H13">
        <v>2</v>
      </c>
      <c r="I13" t="s">
        <v>241</v>
      </c>
      <c r="J13" t="s">
        <v>242</v>
      </c>
      <c r="K13" t="s">
        <v>243</v>
      </c>
      <c r="L13">
        <v>1368</v>
      </c>
      <c r="N13">
        <v>1011</v>
      </c>
      <c r="O13" t="s">
        <v>231</v>
      </c>
      <c r="P13" t="s">
        <v>231</v>
      </c>
      <c r="Q13">
        <v>1</v>
      </c>
      <c r="X13">
        <v>98.29</v>
      </c>
      <c r="Y13">
        <v>0</v>
      </c>
      <c r="Z13">
        <v>112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57</v>
      </c>
      <c r="AG13">
        <v>68.803</v>
      </c>
      <c r="AH13">
        <v>2</v>
      </c>
      <c r="AI13">
        <v>27555272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ROW(Source!A34)</f>
        <v>34</v>
      </c>
      <c r="B14">
        <v>27555273</v>
      </c>
      <c r="C14">
        <v>27555269</v>
      </c>
      <c r="D14">
        <v>24450908</v>
      </c>
      <c r="E14">
        <v>1</v>
      </c>
      <c r="F14">
        <v>1</v>
      </c>
      <c r="G14">
        <v>1</v>
      </c>
      <c r="H14">
        <v>2</v>
      </c>
      <c r="I14" t="s">
        <v>244</v>
      </c>
      <c r="J14" t="s">
        <v>245</v>
      </c>
      <c r="K14" t="s">
        <v>246</v>
      </c>
      <c r="L14">
        <v>1368</v>
      </c>
      <c r="N14">
        <v>1011</v>
      </c>
      <c r="O14" t="s">
        <v>231</v>
      </c>
      <c r="P14" t="s">
        <v>231</v>
      </c>
      <c r="Q14">
        <v>1</v>
      </c>
      <c r="X14">
        <v>0.33</v>
      </c>
      <c r="Y14">
        <v>0</v>
      </c>
      <c r="Z14">
        <v>99.89</v>
      </c>
      <c r="AA14">
        <v>10.06</v>
      </c>
      <c r="AB14">
        <v>0</v>
      </c>
      <c r="AC14">
        <v>0</v>
      </c>
      <c r="AD14">
        <v>1</v>
      </c>
      <c r="AE14">
        <v>0</v>
      </c>
      <c r="AF14" t="s">
        <v>57</v>
      </c>
      <c r="AG14">
        <v>0.23099999999999998</v>
      </c>
      <c r="AH14">
        <v>2</v>
      </c>
      <c r="AI14">
        <v>27555273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ROW(Source!A34)</f>
        <v>34</v>
      </c>
      <c r="B15">
        <v>27555274</v>
      </c>
      <c r="C15">
        <v>27555269</v>
      </c>
      <c r="D15">
        <v>24451039</v>
      </c>
      <c r="E15">
        <v>1</v>
      </c>
      <c r="F15">
        <v>1</v>
      </c>
      <c r="G15">
        <v>1</v>
      </c>
      <c r="H15">
        <v>2</v>
      </c>
      <c r="I15" t="s">
        <v>247</v>
      </c>
      <c r="J15" t="s">
        <v>248</v>
      </c>
      <c r="K15" t="s">
        <v>249</v>
      </c>
      <c r="L15">
        <v>1368</v>
      </c>
      <c r="N15">
        <v>1011</v>
      </c>
      <c r="O15" t="s">
        <v>231</v>
      </c>
      <c r="P15" t="s">
        <v>231</v>
      </c>
      <c r="Q15">
        <v>1</v>
      </c>
      <c r="X15">
        <v>16.35</v>
      </c>
      <c r="Y15">
        <v>0</v>
      </c>
      <c r="Z15">
        <v>8.1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57</v>
      </c>
      <c r="AG15">
        <v>11.445</v>
      </c>
      <c r="AH15">
        <v>2</v>
      </c>
      <c r="AI15">
        <v>27555274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ROW(Source!A34)</f>
        <v>34</v>
      </c>
      <c r="B16">
        <v>27555275</v>
      </c>
      <c r="C16">
        <v>27555269</v>
      </c>
      <c r="D16">
        <v>24451149</v>
      </c>
      <c r="E16">
        <v>1</v>
      </c>
      <c r="F16">
        <v>1</v>
      </c>
      <c r="G16">
        <v>1</v>
      </c>
      <c r="H16">
        <v>2</v>
      </c>
      <c r="I16" t="s">
        <v>250</v>
      </c>
      <c r="J16" t="s">
        <v>251</v>
      </c>
      <c r="K16" t="s">
        <v>252</v>
      </c>
      <c r="L16">
        <v>1368</v>
      </c>
      <c r="N16">
        <v>1011</v>
      </c>
      <c r="O16" t="s">
        <v>231</v>
      </c>
      <c r="P16" t="s">
        <v>231</v>
      </c>
      <c r="Q16">
        <v>1</v>
      </c>
      <c r="X16">
        <v>4.3</v>
      </c>
      <c r="Y16">
        <v>0</v>
      </c>
      <c r="Z16">
        <v>70.01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57</v>
      </c>
      <c r="AG16">
        <v>3.01</v>
      </c>
      <c r="AH16">
        <v>2</v>
      </c>
      <c r="AI16">
        <v>27555275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ROW(Source!A34)</f>
        <v>34</v>
      </c>
      <c r="B17">
        <v>27555276</v>
      </c>
      <c r="C17">
        <v>27555269</v>
      </c>
      <c r="D17">
        <v>24452575</v>
      </c>
      <c r="E17">
        <v>1</v>
      </c>
      <c r="F17">
        <v>1</v>
      </c>
      <c r="G17">
        <v>1</v>
      </c>
      <c r="H17">
        <v>2</v>
      </c>
      <c r="I17" t="s">
        <v>253</v>
      </c>
      <c r="J17" t="s">
        <v>254</v>
      </c>
      <c r="K17" t="s">
        <v>255</v>
      </c>
      <c r="L17">
        <v>1368</v>
      </c>
      <c r="N17">
        <v>1011</v>
      </c>
      <c r="O17" t="s">
        <v>231</v>
      </c>
      <c r="P17" t="s">
        <v>231</v>
      </c>
      <c r="Q17">
        <v>1</v>
      </c>
      <c r="X17">
        <v>7.15</v>
      </c>
      <c r="Y17">
        <v>0</v>
      </c>
      <c r="Z17">
        <v>87.17</v>
      </c>
      <c r="AA17">
        <v>11.6</v>
      </c>
      <c r="AB17">
        <v>0</v>
      </c>
      <c r="AC17">
        <v>0</v>
      </c>
      <c r="AD17">
        <v>1</v>
      </c>
      <c r="AE17">
        <v>0</v>
      </c>
      <c r="AF17" t="s">
        <v>57</v>
      </c>
      <c r="AG17">
        <v>5.005</v>
      </c>
      <c r="AH17">
        <v>2</v>
      </c>
      <c r="AI17">
        <v>27555276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ROW(Source!A34)</f>
        <v>34</v>
      </c>
      <c r="B18">
        <v>27555277</v>
      </c>
      <c r="C18">
        <v>27555269</v>
      </c>
      <c r="D18">
        <v>24454189</v>
      </c>
      <c r="E18">
        <v>1</v>
      </c>
      <c r="F18">
        <v>1</v>
      </c>
      <c r="G18">
        <v>1</v>
      </c>
      <c r="H18">
        <v>3</v>
      </c>
      <c r="I18" t="s">
        <v>256</v>
      </c>
      <c r="J18" t="s">
        <v>257</v>
      </c>
      <c r="K18" t="s">
        <v>258</v>
      </c>
      <c r="L18">
        <v>1348</v>
      </c>
      <c r="N18">
        <v>1009</v>
      </c>
      <c r="O18" t="s">
        <v>39</v>
      </c>
      <c r="P18" t="s">
        <v>39</v>
      </c>
      <c r="Q18">
        <v>1000</v>
      </c>
      <c r="X18">
        <v>1.02</v>
      </c>
      <c r="Y18">
        <v>412.01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56</v>
      </c>
      <c r="AG18">
        <v>0</v>
      </c>
      <c r="AH18">
        <v>2</v>
      </c>
      <c r="AI18">
        <v>27555277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ROW(Source!A34)</f>
        <v>34</v>
      </c>
      <c r="B19">
        <v>27555278</v>
      </c>
      <c r="C19">
        <v>27555269</v>
      </c>
      <c r="D19">
        <v>24454280</v>
      </c>
      <c r="E19">
        <v>1</v>
      </c>
      <c r="F19">
        <v>1</v>
      </c>
      <c r="G19">
        <v>1</v>
      </c>
      <c r="H19">
        <v>3</v>
      </c>
      <c r="I19" t="s">
        <v>259</v>
      </c>
      <c r="J19" t="s">
        <v>260</v>
      </c>
      <c r="K19" t="s">
        <v>261</v>
      </c>
      <c r="L19">
        <v>1348</v>
      </c>
      <c r="N19">
        <v>1009</v>
      </c>
      <c r="O19" t="s">
        <v>39</v>
      </c>
      <c r="P19" t="s">
        <v>39</v>
      </c>
      <c r="Q19">
        <v>1000</v>
      </c>
      <c r="X19">
        <v>0.03</v>
      </c>
      <c r="Y19">
        <v>9423.99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56</v>
      </c>
      <c r="AG19">
        <v>0</v>
      </c>
      <c r="AH19">
        <v>2</v>
      </c>
      <c r="AI19">
        <v>27555278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ROW(Source!A34)</f>
        <v>34</v>
      </c>
      <c r="B20">
        <v>27555279</v>
      </c>
      <c r="C20">
        <v>27555269</v>
      </c>
      <c r="D20">
        <v>24471559</v>
      </c>
      <c r="E20">
        <v>1</v>
      </c>
      <c r="F20">
        <v>1</v>
      </c>
      <c r="G20">
        <v>1</v>
      </c>
      <c r="H20">
        <v>3</v>
      </c>
      <c r="I20" t="s">
        <v>262</v>
      </c>
      <c r="J20" t="s">
        <v>263</v>
      </c>
      <c r="K20" t="s">
        <v>264</v>
      </c>
      <c r="L20">
        <v>1354</v>
      </c>
      <c r="N20">
        <v>1010</v>
      </c>
      <c r="O20" t="s">
        <v>20</v>
      </c>
      <c r="P20" t="s">
        <v>20</v>
      </c>
      <c r="Q20">
        <v>1</v>
      </c>
      <c r="X20">
        <v>100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56</v>
      </c>
      <c r="AG20">
        <v>0</v>
      </c>
      <c r="AH20">
        <v>2</v>
      </c>
      <c r="AI20">
        <v>27555279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ROW(Source!A34)</f>
        <v>34</v>
      </c>
      <c r="B21">
        <v>27555280</v>
      </c>
      <c r="C21">
        <v>27555269</v>
      </c>
      <c r="D21">
        <v>24471969</v>
      </c>
      <c r="E21">
        <v>1</v>
      </c>
      <c r="F21">
        <v>1</v>
      </c>
      <c r="G21">
        <v>1</v>
      </c>
      <c r="H21">
        <v>3</v>
      </c>
      <c r="I21" t="s">
        <v>265</v>
      </c>
      <c r="J21" t="s">
        <v>266</v>
      </c>
      <c r="K21" t="s">
        <v>267</v>
      </c>
      <c r="L21">
        <v>1339</v>
      </c>
      <c r="N21">
        <v>1007</v>
      </c>
      <c r="O21" t="s">
        <v>91</v>
      </c>
      <c r="P21" t="s">
        <v>91</v>
      </c>
      <c r="Q21">
        <v>1</v>
      </c>
      <c r="X21">
        <v>3</v>
      </c>
      <c r="Y21">
        <v>137.61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56</v>
      </c>
      <c r="AG21">
        <v>0</v>
      </c>
      <c r="AH21">
        <v>2</v>
      </c>
      <c r="AI21">
        <v>27555280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ROW(Source!A34)</f>
        <v>34</v>
      </c>
      <c r="B22">
        <v>27555281</v>
      </c>
      <c r="C22">
        <v>27555269</v>
      </c>
      <c r="D22">
        <v>24472293</v>
      </c>
      <c r="E22">
        <v>1</v>
      </c>
      <c r="F22">
        <v>1</v>
      </c>
      <c r="G22">
        <v>1</v>
      </c>
      <c r="H22">
        <v>3</v>
      </c>
      <c r="I22" t="s">
        <v>268</v>
      </c>
      <c r="J22" t="s">
        <v>269</v>
      </c>
      <c r="K22" t="s">
        <v>270</v>
      </c>
      <c r="L22">
        <v>1339</v>
      </c>
      <c r="N22">
        <v>1007</v>
      </c>
      <c r="O22" t="s">
        <v>91</v>
      </c>
      <c r="P22" t="s">
        <v>91</v>
      </c>
      <c r="Q22">
        <v>1</v>
      </c>
      <c r="X22">
        <v>0.79</v>
      </c>
      <c r="Y22">
        <v>2.44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56</v>
      </c>
      <c r="AG22">
        <v>0</v>
      </c>
      <c r="AH22">
        <v>2</v>
      </c>
      <c r="AI22">
        <v>27555281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ROW(Source!A35)</f>
        <v>35</v>
      </c>
      <c r="B23">
        <v>27555520</v>
      </c>
      <c r="C23">
        <v>27555519</v>
      </c>
      <c r="D23">
        <v>24502559</v>
      </c>
      <c r="E23">
        <v>1</v>
      </c>
      <c r="F23">
        <v>1</v>
      </c>
      <c r="G23">
        <v>1</v>
      </c>
      <c r="H23">
        <v>1</v>
      </c>
      <c r="I23" t="s">
        <v>271</v>
      </c>
      <c r="K23" t="s">
        <v>272</v>
      </c>
      <c r="L23">
        <v>1369</v>
      </c>
      <c r="N23">
        <v>1013</v>
      </c>
      <c r="O23" t="s">
        <v>225</v>
      </c>
      <c r="P23" t="s">
        <v>225</v>
      </c>
      <c r="Q23">
        <v>1</v>
      </c>
      <c r="X23">
        <v>0.98</v>
      </c>
      <c r="Y23">
        <v>0</v>
      </c>
      <c r="Z23">
        <v>0</v>
      </c>
      <c r="AA23">
        <v>0</v>
      </c>
      <c r="AB23">
        <v>7.87</v>
      </c>
      <c r="AC23">
        <v>0</v>
      </c>
      <c r="AD23">
        <v>1</v>
      </c>
      <c r="AE23">
        <v>1</v>
      </c>
      <c r="AG23">
        <v>0.98</v>
      </c>
      <c r="AH23">
        <v>2</v>
      </c>
      <c r="AI23">
        <v>27555520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ROW(Source!A35)</f>
        <v>35</v>
      </c>
      <c r="B24">
        <v>27555521</v>
      </c>
      <c r="C24">
        <v>27555519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28</v>
      </c>
      <c r="K24" t="s">
        <v>226</v>
      </c>
      <c r="L24">
        <v>608254</v>
      </c>
      <c r="N24">
        <v>1013</v>
      </c>
      <c r="O24" t="s">
        <v>227</v>
      </c>
      <c r="P24" t="s">
        <v>227</v>
      </c>
      <c r="Q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G24">
        <v>0</v>
      </c>
      <c r="AH24">
        <v>2</v>
      </c>
      <c r="AI24">
        <v>27555521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ROW(Source!A35)</f>
        <v>35</v>
      </c>
      <c r="B25">
        <v>27555522</v>
      </c>
      <c r="C25">
        <v>27555519</v>
      </c>
      <c r="D25">
        <v>24451308</v>
      </c>
      <c r="E25">
        <v>1</v>
      </c>
      <c r="F25">
        <v>1</v>
      </c>
      <c r="G25">
        <v>1</v>
      </c>
      <c r="H25">
        <v>2</v>
      </c>
      <c r="I25" t="s">
        <v>273</v>
      </c>
      <c r="J25" t="s">
        <v>274</v>
      </c>
      <c r="K25" t="s">
        <v>275</v>
      </c>
      <c r="L25">
        <v>1368</v>
      </c>
      <c r="N25">
        <v>1011</v>
      </c>
      <c r="O25" t="s">
        <v>231</v>
      </c>
      <c r="P25" t="s">
        <v>231</v>
      </c>
      <c r="Q25">
        <v>1</v>
      </c>
      <c r="X25">
        <v>0.75</v>
      </c>
      <c r="Y25">
        <v>0</v>
      </c>
      <c r="Z25">
        <v>16.5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0.75</v>
      </c>
      <c r="AH25">
        <v>2</v>
      </c>
      <c r="AI25">
        <v>27555522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ROW(Source!A36)</f>
        <v>36</v>
      </c>
      <c r="B26">
        <v>27555761</v>
      </c>
      <c r="C26">
        <v>27555760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28</v>
      </c>
      <c r="K26" t="s">
        <v>226</v>
      </c>
      <c r="L26">
        <v>608254</v>
      </c>
      <c r="N26">
        <v>1013</v>
      </c>
      <c r="O26" t="s">
        <v>227</v>
      </c>
      <c r="P26" t="s">
        <v>227</v>
      </c>
      <c r="Q26">
        <v>1</v>
      </c>
      <c r="X26">
        <v>12.65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G26">
        <v>12.65</v>
      </c>
      <c r="AH26">
        <v>2</v>
      </c>
      <c r="AI26">
        <v>27555761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ROW(Source!A36)</f>
        <v>36</v>
      </c>
      <c r="B27">
        <v>27555762</v>
      </c>
      <c r="C27">
        <v>27555760</v>
      </c>
      <c r="D27">
        <v>24451198</v>
      </c>
      <c r="E27">
        <v>1</v>
      </c>
      <c r="F27">
        <v>1</v>
      </c>
      <c r="G27">
        <v>1</v>
      </c>
      <c r="H27">
        <v>2</v>
      </c>
      <c r="I27" t="s">
        <v>276</v>
      </c>
      <c r="J27" t="s">
        <v>277</v>
      </c>
      <c r="K27" t="s">
        <v>278</v>
      </c>
      <c r="L27">
        <v>1368</v>
      </c>
      <c r="N27">
        <v>1011</v>
      </c>
      <c r="O27" t="s">
        <v>231</v>
      </c>
      <c r="P27" t="s">
        <v>231</v>
      </c>
      <c r="Q27">
        <v>1</v>
      </c>
      <c r="X27">
        <v>12.65</v>
      </c>
      <c r="Y27">
        <v>0</v>
      </c>
      <c r="Z27">
        <v>61.3</v>
      </c>
      <c r="AA27">
        <v>13.5</v>
      </c>
      <c r="AB27">
        <v>0</v>
      </c>
      <c r="AC27">
        <v>0</v>
      </c>
      <c r="AD27">
        <v>1</v>
      </c>
      <c r="AE27">
        <v>0</v>
      </c>
      <c r="AG27">
        <v>12.65</v>
      </c>
      <c r="AH27">
        <v>2</v>
      </c>
      <c r="AI27">
        <v>27555762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ROW(Source!A37)</f>
        <v>37</v>
      </c>
      <c r="B28">
        <v>27555764</v>
      </c>
      <c r="C28">
        <v>27555763</v>
      </c>
      <c r="D28">
        <v>24501834</v>
      </c>
      <c r="E28">
        <v>1</v>
      </c>
      <c r="F28">
        <v>1</v>
      </c>
      <c r="G28">
        <v>1</v>
      </c>
      <c r="H28">
        <v>1</v>
      </c>
      <c r="I28" t="s">
        <v>279</v>
      </c>
      <c r="K28" t="s">
        <v>280</v>
      </c>
      <c r="L28">
        <v>1369</v>
      </c>
      <c r="N28">
        <v>1013</v>
      </c>
      <c r="O28" t="s">
        <v>225</v>
      </c>
      <c r="P28" t="s">
        <v>225</v>
      </c>
      <c r="Q28">
        <v>1</v>
      </c>
      <c r="X28">
        <v>11.41</v>
      </c>
      <c r="Y28">
        <v>0</v>
      </c>
      <c r="Z28">
        <v>0</v>
      </c>
      <c r="AA28">
        <v>0</v>
      </c>
      <c r="AB28">
        <v>7.8</v>
      </c>
      <c r="AC28">
        <v>0</v>
      </c>
      <c r="AD28">
        <v>1</v>
      </c>
      <c r="AE28">
        <v>1</v>
      </c>
      <c r="AG28">
        <v>11.41</v>
      </c>
      <c r="AH28">
        <v>2</v>
      </c>
      <c r="AI28">
        <v>27555764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ROW(Source!A37)</f>
        <v>37</v>
      </c>
      <c r="B29">
        <v>27555765</v>
      </c>
      <c r="C29">
        <v>27555763</v>
      </c>
      <c r="D29">
        <v>121548</v>
      </c>
      <c r="E29">
        <v>1</v>
      </c>
      <c r="F29">
        <v>1</v>
      </c>
      <c r="G29">
        <v>1</v>
      </c>
      <c r="H29">
        <v>1</v>
      </c>
      <c r="I29" t="s">
        <v>28</v>
      </c>
      <c r="K29" t="s">
        <v>226</v>
      </c>
      <c r="L29">
        <v>608254</v>
      </c>
      <c r="N29">
        <v>1013</v>
      </c>
      <c r="O29" t="s">
        <v>227</v>
      </c>
      <c r="P29" t="s">
        <v>227</v>
      </c>
      <c r="Q29">
        <v>1</v>
      </c>
      <c r="X29">
        <v>33.09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2</v>
      </c>
      <c r="AG29">
        <v>33.09</v>
      </c>
      <c r="AH29">
        <v>2</v>
      </c>
      <c r="AI29">
        <v>27555765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ROW(Source!A37)</f>
        <v>37</v>
      </c>
      <c r="B30">
        <v>27555766</v>
      </c>
      <c r="C30">
        <v>27555763</v>
      </c>
      <c r="D30">
        <v>24451125</v>
      </c>
      <c r="E30">
        <v>1</v>
      </c>
      <c r="F30">
        <v>1</v>
      </c>
      <c r="G30">
        <v>1</v>
      </c>
      <c r="H30">
        <v>2</v>
      </c>
      <c r="I30" t="s">
        <v>281</v>
      </c>
      <c r="J30" t="s">
        <v>282</v>
      </c>
      <c r="K30" t="s">
        <v>283</v>
      </c>
      <c r="L30">
        <v>1368</v>
      </c>
      <c r="N30">
        <v>1011</v>
      </c>
      <c r="O30" t="s">
        <v>231</v>
      </c>
      <c r="P30" t="s">
        <v>231</v>
      </c>
      <c r="Q30">
        <v>1</v>
      </c>
      <c r="X30">
        <v>25.25</v>
      </c>
      <c r="Y30">
        <v>0</v>
      </c>
      <c r="Z30">
        <v>125.7</v>
      </c>
      <c r="AA30">
        <v>13.5</v>
      </c>
      <c r="AB30">
        <v>0</v>
      </c>
      <c r="AC30">
        <v>0</v>
      </c>
      <c r="AD30">
        <v>1</v>
      </c>
      <c r="AE30">
        <v>0</v>
      </c>
      <c r="AG30">
        <v>25.25</v>
      </c>
      <c r="AH30">
        <v>2</v>
      </c>
      <c r="AI30">
        <v>27555766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ROW(Source!A37)</f>
        <v>37</v>
      </c>
      <c r="B31">
        <v>27555767</v>
      </c>
      <c r="C31">
        <v>27555763</v>
      </c>
      <c r="D31">
        <v>24451199</v>
      </c>
      <c r="E31">
        <v>1</v>
      </c>
      <c r="F31">
        <v>1</v>
      </c>
      <c r="G31">
        <v>1</v>
      </c>
      <c r="H31">
        <v>2</v>
      </c>
      <c r="I31" t="s">
        <v>284</v>
      </c>
      <c r="J31" t="s">
        <v>285</v>
      </c>
      <c r="K31" t="s">
        <v>286</v>
      </c>
      <c r="L31">
        <v>1368</v>
      </c>
      <c r="N31">
        <v>1011</v>
      </c>
      <c r="O31" t="s">
        <v>231</v>
      </c>
      <c r="P31" t="s">
        <v>231</v>
      </c>
      <c r="Q31">
        <v>1</v>
      </c>
      <c r="X31">
        <v>7.84</v>
      </c>
      <c r="Y31">
        <v>0</v>
      </c>
      <c r="Z31">
        <v>80.01</v>
      </c>
      <c r="AA31">
        <v>14.4</v>
      </c>
      <c r="AB31">
        <v>0</v>
      </c>
      <c r="AC31">
        <v>0</v>
      </c>
      <c r="AD31">
        <v>1</v>
      </c>
      <c r="AE31">
        <v>0</v>
      </c>
      <c r="AG31">
        <v>7.84</v>
      </c>
      <c r="AH31">
        <v>2</v>
      </c>
      <c r="AI31">
        <v>27555767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ROW(Source!A37)</f>
        <v>37</v>
      </c>
      <c r="B32">
        <v>27555768</v>
      </c>
      <c r="C32">
        <v>27555763</v>
      </c>
      <c r="D32">
        <v>24471955</v>
      </c>
      <c r="E32">
        <v>1</v>
      </c>
      <c r="F32">
        <v>1</v>
      </c>
      <c r="G32">
        <v>1</v>
      </c>
      <c r="H32">
        <v>3</v>
      </c>
      <c r="I32" t="s">
        <v>287</v>
      </c>
      <c r="J32" t="s">
        <v>288</v>
      </c>
      <c r="K32" t="s">
        <v>289</v>
      </c>
      <c r="L32">
        <v>1339</v>
      </c>
      <c r="N32">
        <v>1007</v>
      </c>
      <c r="O32" t="s">
        <v>91</v>
      </c>
      <c r="P32" t="s">
        <v>91</v>
      </c>
      <c r="Q32">
        <v>1</v>
      </c>
      <c r="X32">
        <v>0.04</v>
      </c>
      <c r="Y32">
        <v>108.4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0.04</v>
      </c>
      <c r="AH32">
        <v>2</v>
      </c>
      <c r="AI32">
        <v>27555768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ROW(Source!A39)</f>
        <v>39</v>
      </c>
      <c r="B33">
        <v>27555771</v>
      </c>
      <c r="C33">
        <v>27555770</v>
      </c>
      <c r="D33">
        <v>24506818</v>
      </c>
      <c r="E33">
        <v>1</v>
      </c>
      <c r="F33">
        <v>1</v>
      </c>
      <c r="G33">
        <v>1</v>
      </c>
      <c r="H33">
        <v>1</v>
      </c>
      <c r="I33" t="s">
        <v>290</v>
      </c>
      <c r="K33" t="s">
        <v>291</v>
      </c>
      <c r="L33">
        <v>1369</v>
      </c>
      <c r="N33">
        <v>1013</v>
      </c>
      <c r="O33" t="s">
        <v>225</v>
      </c>
      <c r="P33" t="s">
        <v>225</v>
      </c>
      <c r="Q33">
        <v>1</v>
      </c>
      <c r="X33">
        <v>35.08</v>
      </c>
      <c r="Y33">
        <v>0</v>
      </c>
      <c r="Z33">
        <v>0</v>
      </c>
      <c r="AA33">
        <v>0</v>
      </c>
      <c r="AB33">
        <v>7.94</v>
      </c>
      <c r="AC33">
        <v>0</v>
      </c>
      <c r="AD33">
        <v>1</v>
      </c>
      <c r="AE33">
        <v>1</v>
      </c>
      <c r="AG33">
        <v>35.08</v>
      </c>
      <c r="AH33">
        <v>2</v>
      </c>
      <c r="AI33">
        <v>27555771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ROW(Source!A39)</f>
        <v>39</v>
      </c>
      <c r="B34">
        <v>27555772</v>
      </c>
      <c r="C34">
        <v>27555770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28</v>
      </c>
      <c r="K34" t="s">
        <v>226</v>
      </c>
      <c r="L34">
        <v>608254</v>
      </c>
      <c r="N34">
        <v>1013</v>
      </c>
      <c r="O34" t="s">
        <v>227</v>
      </c>
      <c r="P34" t="s">
        <v>227</v>
      </c>
      <c r="Q34">
        <v>1</v>
      </c>
      <c r="X34">
        <v>0.07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G34">
        <v>0.07</v>
      </c>
      <c r="AH34">
        <v>2</v>
      </c>
      <c r="AI34">
        <v>27555772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ROW(Source!A39)</f>
        <v>39</v>
      </c>
      <c r="B35">
        <v>27555773</v>
      </c>
      <c r="C35">
        <v>27555770</v>
      </c>
      <c r="D35">
        <v>24450741</v>
      </c>
      <c r="E35">
        <v>1</v>
      </c>
      <c r="F35">
        <v>1</v>
      </c>
      <c r="G35">
        <v>1</v>
      </c>
      <c r="H35">
        <v>2</v>
      </c>
      <c r="I35" t="s">
        <v>292</v>
      </c>
      <c r="J35" t="s">
        <v>293</v>
      </c>
      <c r="K35" t="s">
        <v>294</v>
      </c>
      <c r="L35">
        <v>1368</v>
      </c>
      <c r="N35">
        <v>1011</v>
      </c>
      <c r="O35" t="s">
        <v>231</v>
      </c>
      <c r="P35" t="s">
        <v>231</v>
      </c>
      <c r="Q35">
        <v>1</v>
      </c>
      <c r="X35">
        <v>0.07</v>
      </c>
      <c r="Y35">
        <v>0</v>
      </c>
      <c r="Z35">
        <v>74.61</v>
      </c>
      <c r="AA35">
        <v>13.5</v>
      </c>
      <c r="AB35">
        <v>0</v>
      </c>
      <c r="AC35">
        <v>0</v>
      </c>
      <c r="AD35">
        <v>1</v>
      </c>
      <c r="AE35">
        <v>0</v>
      </c>
      <c r="AG35">
        <v>0.07</v>
      </c>
      <c r="AH35">
        <v>2</v>
      </c>
      <c r="AI35">
        <v>27555773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ROW(Source!A39)</f>
        <v>39</v>
      </c>
      <c r="B36">
        <v>27555774</v>
      </c>
      <c r="C36">
        <v>27555770</v>
      </c>
      <c r="D36">
        <v>24451311</v>
      </c>
      <c r="E36">
        <v>1</v>
      </c>
      <c r="F36">
        <v>1</v>
      </c>
      <c r="G36">
        <v>1</v>
      </c>
      <c r="H36">
        <v>2</v>
      </c>
      <c r="I36" t="s">
        <v>295</v>
      </c>
      <c r="J36" t="s">
        <v>296</v>
      </c>
      <c r="K36" t="s">
        <v>297</v>
      </c>
      <c r="L36">
        <v>1368</v>
      </c>
      <c r="N36">
        <v>1011</v>
      </c>
      <c r="O36" t="s">
        <v>231</v>
      </c>
      <c r="P36" t="s">
        <v>231</v>
      </c>
      <c r="Q36">
        <v>1</v>
      </c>
      <c r="X36">
        <v>0.14</v>
      </c>
      <c r="Y36">
        <v>0</v>
      </c>
      <c r="Z36">
        <v>9.62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0.14</v>
      </c>
      <c r="AH36">
        <v>2</v>
      </c>
      <c r="AI36">
        <v>27555774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ROW(Source!A39)</f>
        <v>39</v>
      </c>
      <c r="B37">
        <v>27555775</v>
      </c>
      <c r="C37">
        <v>27555770</v>
      </c>
      <c r="D37">
        <v>24471920</v>
      </c>
      <c r="E37">
        <v>1</v>
      </c>
      <c r="F37">
        <v>1</v>
      </c>
      <c r="G37">
        <v>1</v>
      </c>
      <c r="H37">
        <v>3</v>
      </c>
      <c r="I37" t="s">
        <v>89</v>
      </c>
      <c r="J37" t="s">
        <v>92</v>
      </c>
      <c r="K37" t="s">
        <v>90</v>
      </c>
      <c r="L37">
        <v>1339</v>
      </c>
      <c r="N37">
        <v>1007</v>
      </c>
      <c r="O37" t="s">
        <v>91</v>
      </c>
      <c r="P37" t="s">
        <v>91</v>
      </c>
      <c r="Q37">
        <v>1</v>
      </c>
      <c r="X37">
        <v>15</v>
      </c>
      <c r="Y37">
        <v>131.9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15</v>
      </c>
      <c r="AH37">
        <v>2</v>
      </c>
      <c r="AI37">
        <v>27555775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ROW(Source!A64)</f>
        <v>64</v>
      </c>
      <c r="B38">
        <v>27555817</v>
      </c>
      <c r="C38">
        <v>27555814</v>
      </c>
      <c r="D38">
        <v>24505677</v>
      </c>
      <c r="E38">
        <v>1</v>
      </c>
      <c r="F38">
        <v>1</v>
      </c>
      <c r="G38">
        <v>1</v>
      </c>
      <c r="H38">
        <v>1</v>
      </c>
      <c r="I38" t="s">
        <v>232</v>
      </c>
      <c r="K38" t="s">
        <v>233</v>
      </c>
      <c r="L38">
        <v>1369</v>
      </c>
      <c r="N38">
        <v>1013</v>
      </c>
      <c r="O38" t="s">
        <v>225</v>
      </c>
      <c r="P38" t="s">
        <v>225</v>
      </c>
      <c r="Q38">
        <v>1</v>
      </c>
      <c r="X38">
        <v>0.53</v>
      </c>
      <c r="Y38">
        <v>0</v>
      </c>
      <c r="Z38">
        <v>0</v>
      </c>
      <c r="AA38">
        <v>0</v>
      </c>
      <c r="AB38">
        <v>8.46</v>
      </c>
      <c r="AC38">
        <v>0</v>
      </c>
      <c r="AD38">
        <v>1</v>
      </c>
      <c r="AE38">
        <v>1</v>
      </c>
      <c r="AG38">
        <v>0.53</v>
      </c>
      <c r="AH38">
        <v>2</v>
      </c>
      <c r="AI38">
        <v>27555815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ROW(Source!A64)</f>
        <v>64</v>
      </c>
      <c r="B39">
        <v>27555818</v>
      </c>
      <c r="C39">
        <v>27555814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28</v>
      </c>
      <c r="K39" t="s">
        <v>226</v>
      </c>
      <c r="L39">
        <v>608254</v>
      </c>
      <c r="N39">
        <v>1013</v>
      </c>
      <c r="O39" t="s">
        <v>227</v>
      </c>
      <c r="P39" t="s">
        <v>227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G39">
        <v>0</v>
      </c>
      <c r="AH39">
        <v>2</v>
      </c>
      <c r="AI39">
        <v>27555816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ROW(Source!A65)</f>
        <v>65</v>
      </c>
      <c r="B40">
        <v>27555822</v>
      </c>
      <c r="C40">
        <v>27555819</v>
      </c>
      <c r="D40">
        <v>24504205</v>
      </c>
      <c r="E40">
        <v>1</v>
      </c>
      <c r="F40">
        <v>1</v>
      </c>
      <c r="G40">
        <v>1</v>
      </c>
      <c r="H40">
        <v>1</v>
      </c>
      <c r="I40" t="s">
        <v>237</v>
      </c>
      <c r="K40" t="s">
        <v>238</v>
      </c>
      <c r="L40">
        <v>1369</v>
      </c>
      <c r="N40">
        <v>1013</v>
      </c>
      <c r="O40" t="s">
        <v>225</v>
      </c>
      <c r="P40" t="s">
        <v>225</v>
      </c>
      <c r="Q40">
        <v>1</v>
      </c>
      <c r="X40">
        <v>0.25</v>
      </c>
      <c r="Y40">
        <v>0</v>
      </c>
      <c r="Z40">
        <v>0</v>
      </c>
      <c r="AA40">
        <v>0</v>
      </c>
      <c r="AB40">
        <v>7.68</v>
      </c>
      <c r="AC40">
        <v>0</v>
      </c>
      <c r="AD40">
        <v>1</v>
      </c>
      <c r="AE40">
        <v>1</v>
      </c>
      <c r="AG40">
        <v>0.25</v>
      </c>
      <c r="AH40">
        <v>2</v>
      </c>
      <c r="AI40">
        <v>27555820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ROW(Source!A65)</f>
        <v>65</v>
      </c>
      <c r="B41">
        <v>27555823</v>
      </c>
      <c r="C41">
        <v>27555819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226</v>
      </c>
      <c r="L41">
        <v>608254</v>
      </c>
      <c r="N41">
        <v>1013</v>
      </c>
      <c r="O41" t="s">
        <v>227</v>
      </c>
      <c r="P41" t="s">
        <v>227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G41">
        <v>0</v>
      </c>
      <c r="AH41">
        <v>2</v>
      </c>
      <c r="AI41">
        <v>27555821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ROW(Source!A66)</f>
        <v>66</v>
      </c>
      <c r="B42">
        <v>27555837</v>
      </c>
      <c r="C42">
        <v>27555824</v>
      </c>
      <c r="D42">
        <v>24508406</v>
      </c>
      <c r="E42">
        <v>1</v>
      </c>
      <c r="F42">
        <v>1</v>
      </c>
      <c r="G42">
        <v>1</v>
      </c>
      <c r="H42">
        <v>1</v>
      </c>
      <c r="I42" t="s">
        <v>239</v>
      </c>
      <c r="K42" t="s">
        <v>240</v>
      </c>
      <c r="L42">
        <v>1369</v>
      </c>
      <c r="N42">
        <v>1013</v>
      </c>
      <c r="O42" t="s">
        <v>225</v>
      </c>
      <c r="P42" t="s">
        <v>225</v>
      </c>
      <c r="Q42">
        <v>1</v>
      </c>
      <c r="X42">
        <v>430.55</v>
      </c>
      <c r="Y42">
        <v>0</v>
      </c>
      <c r="Z42">
        <v>0</v>
      </c>
      <c r="AA42">
        <v>0</v>
      </c>
      <c r="AB42">
        <v>9.18</v>
      </c>
      <c r="AC42">
        <v>0</v>
      </c>
      <c r="AD42">
        <v>1</v>
      </c>
      <c r="AE42">
        <v>1</v>
      </c>
      <c r="AF42" t="s">
        <v>57</v>
      </c>
      <c r="AG42">
        <v>301.385</v>
      </c>
      <c r="AH42">
        <v>2</v>
      </c>
      <c r="AI42">
        <v>27555825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ROW(Source!A66)</f>
        <v>66</v>
      </c>
      <c r="B43">
        <v>27555838</v>
      </c>
      <c r="C43">
        <v>27555824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28</v>
      </c>
      <c r="K43" t="s">
        <v>226</v>
      </c>
      <c r="L43">
        <v>608254</v>
      </c>
      <c r="N43">
        <v>1013</v>
      </c>
      <c r="O43" t="s">
        <v>227</v>
      </c>
      <c r="P43" t="s">
        <v>227</v>
      </c>
      <c r="Q43">
        <v>1</v>
      </c>
      <c r="X43">
        <v>102.92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57</v>
      </c>
      <c r="AG43">
        <v>72.044</v>
      </c>
      <c r="AH43">
        <v>2</v>
      </c>
      <c r="AI43">
        <v>27555826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ROW(Source!A66)</f>
        <v>66</v>
      </c>
      <c r="B44">
        <v>27555839</v>
      </c>
      <c r="C44">
        <v>27555824</v>
      </c>
      <c r="D44">
        <v>24450839</v>
      </c>
      <c r="E44">
        <v>1</v>
      </c>
      <c r="F44">
        <v>1</v>
      </c>
      <c r="G44">
        <v>1</v>
      </c>
      <c r="H44">
        <v>2</v>
      </c>
      <c r="I44" t="s">
        <v>241</v>
      </c>
      <c r="J44" t="s">
        <v>242</v>
      </c>
      <c r="K44" t="s">
        <v>243</v>
      </c>
      <c r="L44">
        <v>1368</v>
      </c>
      <c r="N44">
        <v>1011</v>
      </c>
      <c r="O44" t="s">
        <v>231</v>
      </c>
      <c r="P44" t="s">
        <v>231</v>
      </c>
      <c r="Q44">
        <v>1</v>
      </c>
      <c r="X44">
        <v>98.29</v>
      </c>
      <c r="Y44">
        <v>0</v>
      </c>
      <c r="Z44">
        <v>112</v>
      </c>
      <c r="AA44">
        <v>13.5</v>
      </c>
      <c r="AB44">
        <v>0</v>
      </c>
      <c r="AC44">
        <v>0</v>
      </c>
      <c r="AD44">
        <v>1</v>
      </c>
      <c r="AE44">
        <v>0</v>
      </c>
      <c r="AF44" t="s">
        <v>57</v>
      </c>
      <c r="AG44">
        <v>68.803</v>
      </c>
      <c r="AH44">
        <v>2</v>
      </c>
      <c r="AI44">
        <v>27555827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ROW(Source!A66)</f>
        <v>66</v>
      </c>
      <c r="B45">
        <v>27555840</v>
      </c>
      <c r="C45">
        <v>27555824</v>
      </c>
      <c r="D45">
        <v>24450908</v>
      </c>
      <c r="E45">
        <v>1</v>
      </c>
      <c r="F45">
        <v>1</v>
      </c>
      <c r="G45">
        <v>1</v>
      </c>
      <c r="H45">
        <v>2</v>
      </c>
      <c r="I45" t="s">
        <v>244</v>
      </c>
      <c r="J45" t="s">
        <v>245</v>
      </c>
      <c r="K45" t="s">
        <v>246</v>
      </c>
      <c r="L45">
        <v>1368</v>
      </c>
      <c r="N45">
        <v>1011</v>
      </c>
      <c r="O45" t="s">
        <v>231</v>
      </c>
      <c r="P45" t="s">
        <v>231</v>
      </c>
      <c r="Q45">
        <v>1</v>
      </c>
      <c r="X45">
        <v>0.33</v>
      </c>
      <c r="Y45">
        <v>0</v>
      </c>
      <c r="Z45">
        <v>99.89</v>
      </c>
      <c r="AA45">
        <v>10.06</v>
      </c>
      <c r="AB45">
        <v>0</v>
      </c>
      <c r="AC45">
        <v>0</v>
      </c>
      <c r="AD45">
        <v>1</v>
      </c>
      <c r="AE45">
        <v>0</v>
      </c>
      <c r="AF45" t="s">
        <v>57</v>
      </c>
      <c r="AG45">
        <v>0.23099999999999998</v>
      </c>
      <c r="AH45">
        <v>2</v>
      </c>
      <c r="AI45">
        <v>27555828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ROW(Source!A66)</f>
        <v>66</v>
      </c>
      <c r="B46">
        <v>27555841</v>
      </c>
      <c r="C46">
        <v>27555824</v>
      </c>
      <c r="D46">
        <v>24451039</v>
      </c>
      <c r="E46">
        <v>1</v>
      </c>
      <c r="F46">
        <v>1</v>
      </c>
      <c r="G46">
        <v>1</v>
      </c>
      <c r="H46">
        <v>2</v>
      </c>
      <c r="I46" t="s">
        <v>247</v>
      </c>
      <c r="J46" t="s">
        <v>248</v>
      </c>
      <c r="K46" t="s">
        <v>249</v>
      </c>
      <c r="L46">
        <v>1368</v>
      </c>
      <c r="N46">
        <v>1011</v>
      </c>
      <c r="O46" t="s">
        <v>231</v>
      </c>
      <c r="P46" t="s">
        <v>231</v>
      </c>
      <c r="Q46">
        <v>1</v>
      </c>
      <c r="X46">
        <v>16.35</v>
      </c>
      <c r="Y46">
        <v>0</v>
      </c>
      <c r="Z46">
        <v>8.1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57</v>
      </c>
      <c r="AG46">
        <v>11.445</v>
      </c>
      <c r="AH46">
        <v>2</v>
      </c>
      <c r="AI46">
        <v>27555829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ROW(Source!A66)</f>
        <v>66</v>
      </c>
      <c r="B47">
        <v>27555842</v>
      </c>
      <c r="C47">
        <v>27555824</v>
      </c>
      <c r="D47">
        <v>24451149</v>
      </c>
      <c r="E47">
        <v>1</v>
      </c>
      <c r="F47">
        <v>1</v>
      </c>
      <c r="G47">
        <v>1</v>
      </c>
      <c r="H47">
        <v>2</v>
      </c>
      <c r="I47" t="s">
        <v>250</v>
      </c>
      <c r="J47" t="s">
        <v>251</v>
      </c>
      <c r="K47" t="s">
        <v>252</v>
      </c>
      <c r="L47">
        <v>1368</v>
      </c>
      <c r="N47">
        <v>1011</v>
      </c>
      <c r="O47" t="s">
        <v>231</v>
      </c>
      <c r="P47" t="s">
        <v>231</v>
      </c>
      <c r="Q47">
        <v>1</v>
      </c>
      <c r="X47">
        <v>4.3</v>
      </c>
      <c r="Y47">
        <v>0</v>
      </c>
      <c r="Z47">
        <v>70.01</v>
      </c>
      <c r="AA47">
        <v>11.6</v>
      </c>
      <c r="AB47">
        <v>0</v>
      </c>
      <c r="AC47">
        <v>0</v>
      </c>
      <c r="AD47">
        <v>1</v>
      </c>
      <c r="AE47">
        <v>0</v>
      </c>
      <c r="AF47" t="s">
        <v>57</v>
      </c>
      <c r="AG47">
        <v>3.01</v>
      </c>
      <c r="AH47">
        <v>2</v>
      </c>
      <c r="AI47">
        <v>27555830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ROW(Source!A66)</f>
        <v>66</v>
      </c>
      <c r="B48">
        <v>27555843</v>
      </c>
      <c r="C48">
        <v>27555824</v>
      </c>
      <c r="D48">
        <v>24452575</v>
      </c>
      <c r="E48">
        <v>1</v>
      </c>
      <c r="F48">
        <v>1</v>
      </c>
      <c r="G48">
        <v>1</v>
      </c>
      <c r="H48">
        <v>2</v>
      </c>
      <c r="I48" t="s">
        <v>253</v>
      </c>
      <c r="J48" t="s">
        <v>254</v>
      </c>
      <c r="K48" t="s">
        <v>255</v>
      </c>
      <c r="L48">
        <v>1368</v>
      </c>
      <c r="N48">
        <v>1011</v>
      </c>
      <c r="O48" t="s">
        <v>231</v>
      </c>
      <c r="P48" t="s">
        <v>231</v>
      </c>
      <c r="Q48">
        <v>1</v>
      </c>
      <c r="X48">
        <v>7.15</v>
      </c>
      <c r="Y48">
        <v>0</v>
      </c>
      <c r="Z48">
        <v>87.17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57</v>
      </c>
      <c r="AG48">
        <v>5.005</v>
      </c>
      <c r="AH48">
        <v>2</v>
      </c>
      <c r="AI48">
        <v>27555831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ROW(Source!A66)</f>
        <v>66</v>
      </c>
      <c r="B49">
        <v>27555844</v>
      </c>
      <c r="C49">
        <v>27555824</v>
      </c>
      <c r="D49">
        <v>24454189</v>
      </c>
      <c r="E49">
        <v>1</v>
      </c>
      <c r="F49">
        <v>1</v>
      </c>
      <c r="G49">
        <v>1</v>
      </c>
      <c r="H49">
        <v>3</v>
      </c>
      <c r="I49" t="s">
        <v>256</v>
      </c>
      <c r="J49" t="s">
        <v>257</v>
      </c>
      <c r="K49" t="s">
        <v>258</v>
      </c>
      <c r="L49">
        <v>1348</v>
      </c>
      <c r="N49">
        <v>1009</v>
      </c>
      <c r="O49" t="s">
        <v>39</v>
      </c>
      <c r="P49" t="s">
        <v>39</v>
      </c>
      <c r="Q49">
        <v>1000</v>
      </c>
      <c r="X49">
        <v>1.02</v>
      </c>
      <c r="Y49">
        <v>412.01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56</v>
      </c>
      <c r="AG49">
        <v>0</v>
      </c>
      <c r="AH49">
        <v>2</v>
      </c>
      <c r="AI49">
        <v>27555832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ROW(Source!A66)</f>
        <v>66</v>
      </c>
      <c r="B50">
        <v>27555845</v>
      </c>
      <c r="C50">
        <v>27555824</v>
      </c>
      <c r="D50">
        <v>24454280</v>
      </c>
      <c r="E50">
        <v>1</v>
      </c>
      <c r="F50">
        <v>1</v>
      </c>
      <c r="G50">
        <v>1</v>
      </c>
      <c r="H50">
        <v>3</v>
      </c>
      <c r="I50" t="s">
        <v>259</v>
      </c>
      <c r="J50" t="s">
        <v>260</v>
      </c>
      <c r="K50" t="s">
        <v>261</v>
      </c>
      <c r="L50">
        <v>1348</v>
      </c>
      <c r="N50">
        <v>1009</v>
      </c>
      <c r="O50" t="s">
        <v>39</v>
      </c>
      <c r="P50" t="s">
        <v>39</v>
      </c>
      <c r="Q50">
        <v>1000</v>
      </c>
      <c r="X50">
        <v>0.03</v>
      </c>
      <c r="Y50">
        <v>9423.99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56</v>
      </c>
      <c r="AG50">
        <v>0</v>
      </c>
      <c r="AH50">
        <v>2</v>
      </c>
      <c r="AI50">
        <v>27555833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ROW(Source!A66)</f>
        <v>66</v>
      </c>
      <c r="B51">
        <v>27555846</v>
      </c>
      <c r="C51">
        <v>27555824</v>
      </c>
      <c r="D51">
        <v>24471559</v>
      </c>
      <c r="E51">
        <v>1</v>
      </c>
      <c r="F51">
        <v>1</v>
      </c>
      <c r="G51">
        <v>1</v>
      </c>
      <c r="H51">
        <v>3</v>
      </c>
      <c r="I51" t="s">
        <v>262</v>
      </c>
      <c r="J51" t="s">
        <v>263</v>
      </c>
      <c r="K51" t="s">
        <v>264</v>
      </c>
      <c r="L51">
        <v>1354</v>
      </c>
      <c r="N51">
        <v>1010</v>
      </c>
      <c r="O51" t="s">
        <v>20</v>
      </c>
      <c r="P51" t="s">
        <v>20</v>
      </c>
      <c r="Q51">
        <v>1</v>
      </c>
      <c r="X51">
        <v>100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 t="s">
        <v>56</v>
      </c>
      <c r="AG51">
        <v>0</v>
      </c>
      <c r="AH51">
        <v>2</v>
      </c>
      <c r="AI51">
        <v>27555834</v>
      </c>
      <c r="AJ51">
        <v>53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ROW(Source!A66)</f>
        <v>66</v>
      </c>
      <c r="B52">
        <v>27555847</v>
      </c>
      <c r="C52">
        <v>27555824</v>
      </c>
      <c r="D52">
        <v>24471969</v>
      </c>
      <c r="E52">
        <v>1</v>
      </c>
      <c r="F52">
        <v>1</v>
      </c>
      <c r="G52">
        <v>1</v>
      </c>
      <c r="H52">
        <v>3</v>
      </c>
      <c r="I52" t="s">
        <v>265</v>
      </c>
      <c r="J52" t="s">
        <v>266</v>
      </c>
      <c r="K52" t="s">
        <v>267</v>
      </c>
      <c r="L52">
        <v>1339</v>
      </c>
      <c r="N52">
        <v>1007</v>
      </c>
      <c r="O52" t="s">
        <v>91</v>
      </c>
      <c r="P52" t="s">
        <v>91</v>
      </c>
      <c r="Q52">
        <v>1</v>
      </c>
      <c r="X52">
        <v>3</v>
      </c>
      <c r="Y52">
        <v>137.61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56</v>
      </c>
      <c r="AG52">
        <v>0</v>
      </c>
      <c r="AH52">
        <v>2</v>
      </c>
      <c r="AI52">
        <v>27555835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ROW(Source!A66)</f>
        <v>66</v>
      </c>
      <c r="B53">
        <v>27555848</v>
      </c>
      <c r="C53">
        <v>27555824</v>
      </c>
      <c r="D53">
        <v>24472293</v>
      </c>
      <c r="E53">
        <v>1</v>
      </c>
      <c r="F53">
        <v>1</v>
      </c>
      <c r="G53">
        <v>1</v>
      </c>
      <c r="H53">
        <v>3</v>
      </c>
      <c r="I53" t="s">
        <v>268</v>
      </c>
      <c r="J53" t="s">
        <v>269</v>
      </c>
      <c r="K53" t="s">
        <v>270</v>
      </c>
      <c r="L53">
        <v>1339</v>
      </c>
      <c r="N53">
        <v>1007</v>
      </c>
      <c r="O53" t="s">
        <v>91</v>
      </c>
      <c r="P53" t="s">
        <v>91</v>
      </c>
      <c r="Q53">
        <v>1</v>
      </c>
      <c r="X53">
        <v>0.79</v>
      </c>
      <c r="Y53">
        <v>2.44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56</v>
      </c>
      <c r="AG53">
        <v>0</v>
      </c>
      <c r="AH53">
        <v>2</v>
      </c>
      <c r="AI53">
        <v>27555836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ROW(Source!A67)</f>
        <v>67</v>
      </c>
      <c r="B54">
        <v>27555853</v>
      </c>
      <c r="C54">
        <v>27555849</v>
      </c>
      <c r="D54">
        <v>24502559</v>
      </c>
      <c r="E54">
        <v>1</v>
      </c>
      <c r="F54">
        <v>1</v>
      </c>
      <c r="G54">
        <v>1</v>
      </c>
      <c r="H54">
        <v>1</v>
      </c>
      <c r="I54" t="s">
        <v>271</v>
      </c>
      <c r="K54" t="s">
        <v>272</v>
      </c>
      <c r="L54">
        <v>1369</v>
      </c>
      <c r="N54">
        <v>1013</v>
      </c>
      <c r="O54" t="s">
        <v>225</v>
      </c>
      <c r="P54" t="s">
        <v>225</v>
      </c>
      <c r="Q54">
        <v>1</v>
      </c>
      <c r="X54">
        <v>0.98</v>
      </c>
      <c r="Y54">
        <v>0</v>
      </c>
      <c r="Z54">
        <v>0</v>
      </c>
      <c r="AA54">
        <v>0</v>
      </c>
      <c r="AB54">
        <v>7.87</v>
      </c>
      <c r="AC54">
        <v>0</v>
      </c>
      <c r="AD54">
        <v>1</v>
      </c>
      <c r="AE54">
        <v>1</v>
      </c>
      <c r="AG54">
        <v>0.98</v>
      </c>
      <c r="AH54">
        <v>2</v>
      </c>
      <c r="AI54">
        <v>27555850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ROW(Source!A67)</f>
        <v>67</v>
      </c>
      <c r="B55">
        <v>27555854</v>
      </c>
      <c r="C55">
        <v>27555849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28</v>
      </c>
      <c r="K55" t="s">
        <v>226</v>
      </c>
      <c r="L55">
        <v>608254</v>
      </c>
      <c r="N55">
        <v>1013</v>
      </c>
      <c r="O55" t="s">
        <v>227</v>
      </c>
      <c r="P55" t="s">
        <v>227</v>
      </c>
      <c r="Q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G55">
        <v>0</v>
      </c>
      <c r="AH55">
        <v>2</v>
      </c>
      <c r="AI55">
        <v>27555851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ROW(Source!A67)</f>
        <v>67</v>
      </c>
      <c r="B56">
        <v>27555855</v>
      </c>
      <c r="C56">
        <v>27555849</v>
      </c>
      <c r="D56">
        <v>24451308</v>
      </c>
      <c r="E56">
        <v>1</v>
      </c>
      <c r="F56">
        <v>1</v>
      </c>
      <c r="G56">
        <v>1</v>
      </c>
      <c r="H56">
        <v>2</v>
      </c>
      <c r="I56" t="s">
        <v>273</v>
      </c>
      <c r="J56" t="s">
        <v>274</v>
      </c>
      <c r="K56" t="s">
        <v>275</v>
      </c>
      <c r="L56">
        <v>1368</v>
      </c>
      <c r="N56">
        <v>1011</v>
      </c>
      <c r="O56" t="s">
        <v>231</v>
      </c>
      <c r="P56" t="s">
        <v>231</v>
      </c>
      <c r="Q56">
        <v>1</v>
      </c>
      <c r="X56">
        <v>0.75</v>
      </c>
      <c r="Y56">
        <v>0</v>
      </c>
      <c r="Z56">
        <v>16.5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0.75</v>
      </c>
      <c r="AH56">
        <v>2</v>
      </c>
      <c r="AI56">
        <v>27555852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ROW(Source!A70)</f>
        <v>70</v>
      </c>
      <c r="B57">
        <v>27555864</v>
      </c>
      <c r="C57">
        <v>27555859</v>
      </c>
      <c r="D57">
        <v>24506818</v>
      </c>
      <c r="E57">
        <v>1</v>
      </c>
      <c r="F57">
        <v>1</v>
      </c>
      <c r="G57">
        <v>1</v>
      </c>
      <c r="H57">
        <v>1</v>
      </c>
      <c r="I57" t="s">
        <v>290</v>
      </c>
      <c r="K57" t="s">
        <v>291</v>
      </c>
      <c r="L57">
        <v>1369</v>
      </c>
      <c r="N57">
        <v>1013</v>
      </c>
      <c r="O57" t="s">
        <v>225</v>
      </c>
      <c r="P57" t="s">
        <v>225</v>
      </c>
      <c r="Q57">
        <v>1</v>
      </c>
      <c r="X57">
        <v>35.08</v>
      </c>
      <c r="Y57">
        <v>0</v>
      </c>
      <c r="Z57">
        <v>0</v>
      </c>
      <c r="AA57">
        <v>0</v>
      </c>
      <c r="AB57">
        <v>7.94</v>
      </c>
      <c r="AC57">
        <v>0</v>
      </c>
      <c r="AD57">
        <v>1</v>
      </c>
      <c r="AE57">
        <v>1</v>
      </c>
      <c r="AG57">
        <v>35.08</v>
      </c>
      <c r="AH57">
        <v>2</v>
      </c>
      <c r="AI57">
        <v>27555860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ROW(Source!A70)</f>
        <v>70</v>
      </c>
      <c r="B58">
        <v>27555865</v>
      </c>
      <c r="C58">
        <v>27555859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28</v>
      </c>
      <c r="K58" t="s">
        <v>226</v>
      </c>
      <c r="L58">
        <v>608254</v>
      </c>
      <c r="N58">
        <v>1013</v>
      </c>
      <c r="O58" t="s">
        <v>227</v>
      </c>
      <c r="P58" t="s">
        <v>227</v>
      </c>
      <c r="Q58">
        <v>1</v>
      </c>
      <c r="X58">
        <v>0.07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G58">
        <v>0.07</v>
      </c>
      <c r="AH58">
        <v>2</v>
      </c>
      <c r="AI58">
        <v>27555861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ROW(Source!A70)</f>
        <v>70</v>
      </c>
      <c r="B59">
        <v>27555866</v>
      </c>
      <c r="C59">
        <v>27555859</v>
      </c>
      <c r="D59">
        <v>24450741</v>
      </c>
      <c r="E59">
        <v>1</v>
      </c>
      <c r="F59">
        <v>1</v>
      </c>
      <c r="G59">
        <v>1</v>
      </c>
      <c r="H59">
        <v>2</v>
      </c>
      <c r="I59" t="s">
        <v>292</v>
      </c>
      <c r="J59" t="s">
        <v>293</v>
      </c>
      <c r="K59" t="s">
        <v>294</v>
      </c>
      <c r="L59">
        <v>1368</v>
      </c>
      <c r="N59">
        <v>1011</v>
      </c>
      <c r="O59" t="s">
        <v>231</v>
      </c>
      <c r="P59" t="s">
        <v>231</v>
      </c>
      <c r="Q59">
        <v>1</v>
      </c>
      <c r="X59">
        <v>0.07</v>
      </c>
      <c r="Y59">
        <v>0</v>
      </c>
      <c r="Z59">
        <v>74.61</v>
      </c>
      <c r="AA59">
        <v>13.5</v>
      </c>
      <c r="AB59">
        <v>0</v>
      </c>
      <c r="AC59">
        <v>0</v>
      </c>
      <c r="AD59">
        <v>1</v>
      </c>
      <c r="AE59">
        <v>0</v>
      </c>
      <c r="AG59">
        <v>0.07</v>
      </c>
      <c r="AH59">
        <v>2</v>
      </c>
      <c r="AI59">
        <v>27555862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ROW(Source!A70)</f>
        <v>70</v>
      </c>
      <c r="B60">
        <v>27555867</v>
      </c>
      <c r="C60">
        <v>27555859</v>
      </c>
      <c r="D60">
        <v>24451311</v>
      </c>
      <c r="E60">
        <v>1</v>
      </c>
      <c r="F60">
        <v>1</v>
      </c>
      <c r="G60">
        <v>1</v>
      </c>
      <c r="H60">
        <v>2</v>
      </c>
      <c r="I60" t="s">
        <v>295</v>
      </c>
      <c r="J60" t="s">
        <v>296</v>
      </c>
      <c r="K60" t="s">
        <v>297</v>
      </c>
      <c r="L60">
        <v>1368</v>
      </c>
      <c r="N60">
        <v>1011</v>
      </c>
      <c r="O60" t="s">
        <v>231</v>
      </c>
      <c r="P60" t="s">
        <v>231</v>
      </c>
      <c r="Q60">
        <v>1</v>
      </c>
      <c r="X60">
        <v>0.14</v>
      </c>
      <c r="Y60">
        <v>0</v>
      </c>
      <c r="Z60">
        <v>9.62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0.14</v>
      </c>
      <c r="AH60">
        <v>2</v>
      </c>
      <c r="AI60">
        <v>27555863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ROW(Source!A70)</f>
        <v>70</v>
      </c>
      <c r="B61">
        <v>27555868</v>
      </c>
      <c r="C61">
        <v>27555859</v>
      </c>
      <c r="D61">
        <v>24471920</v>
      </c>
      <c r="E61">
        <v>1</v>
      </c>
      <c r="F61">
        <v>1</v>
      </c>
      <c r="G61">
        <v>1</v>
      </c>
      <c r="H61">
        <v>3</v>
      </c>
      <c r="I61" t="s">
        <v>89</v>
      </c>
      <c r="J61" t="s">
        <v>92</v>
      </c>
      <c r="K61" t="s">
        <v>90</v>
      </c>
      <c r="L61">
        <v>1339</v>
      </c>
      <c r="N61">
        <v>1007</v>
      </c>
      <c r="O61" t="s">
        <v>91</v>
      </c>
      <c r="P61" t="s">
        <v>91</v>
      </c>
      <c r="Q61">
        <v>1</v>
      </c>
      <c r="X61">
        <v>15</v>
      </c>
      <c r="Y61">
        <v>131.9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15</v>
      </c>
      <c r="AH61">
        <v>2</v>
      </c>
      <c r="AI61">
        <v>27555870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ROW(Source!A95)</f>
        <v>95</v>
      </c>
      <c r="B62">
        <v>27555911</v>
      </c>
      <c r="C62">
        <v>27555907</v>
      </c>
      <c r="D62">
        <v>24505677</v>
      </c>
      <c r="E62">
        <v>1</v>
      </c>
      <c r="F62">
        <v>1</v>
      </c>
      <c r="G62">
        <v>1</v>
      </c>
      <c r="H62">
        <v>1</v>
      </c>
      <c r="I62" t="s">
        <v>232</v>
      </c>
      <c r="K62" t="s">
        <v>233</v>
      </c>
      <c r="L62">
        <v>1369</v>
      </c>
      <c r="N62">
        <v>1013</v>
      </c>
      <c r="O62" t="s">
        <v>225</v>
      </c>
      <c r="P62" t="s">
        <v>225</v>
      </c>
      <c r="Q62">
        <v>1</v>
      </c>
      <c r="X62">
        <v>2.07</v>
      </c>
      <c r="Y62">
        <v>0</v>
      </c>
      <c r="Z62">
        <v>0</v>
      </c>
      <c r="AA62">
        <v>0</v>
      </c>
      <c r="AB62">
        <v>8.46</v>
      </c>
      <c r="AC62">
        <v>0</v>
      </c>
      <c r="AD62">
        <v>1</v>
      </c>
      <c r="AE62">
        <v>1</v>
      </c>
      <c r="AG62">
        <v>2.07</v>
      </c>
      <c r="AH62">
        <v>2</v>
      </c>
      <c r="AI62">
        <v>27555908</v>
      </c>
      <c r="AJ62">
        <v>66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ROW(Source!A95)</f>
        <v>95</v>
      </c>
      <c r="B63">
        <v>27555912</v>
      </c>
      <c r="C63">
        <v>27555907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28</v>
      </c>
      <c r="K63" t="s">
        <v>226</v>
      </c>
      <c r="L63">
        <v>608254</v>
      </c>
      <c r="N63">
        <v>1013</v>
      </c>
      <c r="O63" t="s">
        <v>227</v>
      </c>
      <c r="P63" t="s">
        <v>227</v>
      </c>
      <c r="Q63">
        <v>1</v>
      </c>
      <c r="X63">
        <v>1.86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G63">
        <v>1.86</v>
      </c>
      <c r="AH63">
        <v>2</v>
      </c>
      <c r="AI63">
        <v>27555909</v>
      </c>
      <c r="AJ63">
        <v>67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ROW(Source!A95)</f>
        <v>95</v>
      </c>
      <c r="B64">
        <v>27555913</v>
      </c>
      <c r="C64">
        <v>27555907</v>
      </c>
      <c r="D64">
        <v>24450975</v>
      </c>
      <c r="E64">
        <v>1</v>
      </c>
      <c r="F64">
        <v>1</v>
      </c>
      <c r="G64">
        <v>1</v>
      </c>
      <c r="H64">
        <v>2</v>
      </c>
      <c r="I64" t="s">
        <v>234</v>
      </c>
      <c r="J64" t="s">
        <v>235</v>
      </c>
      <c r="K64" t="s">
        <v>236</v>
      </c>
      <c r="L64">
        <v>1368</v>
      </c>
      <c r="N64">
        <v>1011</v>
      </c>
      <c r="O64" t="s">
        <v>231</v>
      </c>
      <c r="P64" t="s">
        <v>231</v>
      </c>
      <c r="Q64">
        <v>1</v>
      </c>
      <c r="X64">
        <v>1.86</v>
      </c>
      <c r="Y64">
        <v>0</v>
      </c>
      <c r="Z64">
        <v>270</v>
      </c>
      <c r="AA64">
        <v>15.42</v>
      </c>
      <c r="AB64">
        <v>0</v>
      </c>
      <c r="AC64">
        <v>0</v>
      </c>
      <c r="AD64">
        <v>1</v>
      </c>
      <c r="AE64">
        <v>0</v>
      </c>
      <c r="AG64">
        <v>1.86</v>
      </c>
      <c r="AH64">
        <v>2</v>
      </c>
      <c r="AI64">
        <v>27555910</v>
      </c>
      <c r="AJ64">
        <v>68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ROW(Source!A98)</f>
        <v>98</v>
      </c>
      <c r="B65">
        <v>27555921</v>
      </c>
      <c r="C65">
        <v>27555916</v>
      </c>
      <c r="D65">
        <v>24506818</v>
      </c>
      <c r="E65">
        <v>1</v>
      </c>
      <c r="F65">
        <v>1</v>
      </c>
      <c r="G65">
        <v>1</v>
      </c>
      <c r="H65">
        <v>1</v>
      </c>
      <c r="I65" t="s">
        <v>290</v>
      </c>
      <c r="K65" t="s">
        <v>291</v>
      </c>
      <c r="L65">
        <v>1369</v>
      </c>
      <c r="N65">
        <v>1013</v>
      </c>
      <c r="O65" t="s">
        <v>225</v>
      </c>
      <c r="P65" t="s">
        <v>225</v>
      </c>
      <c r="Q65">
        <v>1</v>
      </c>
      <c r="X65">
        <v>35.08</v>
      </c>
      <c r="Y65">
        <v>0</v>
      </c>
      <c r="Z65">
        <v>0</v>
      </c>
      <c r="AA65">
        <v>0</v>
      </c>
      <c r="AB65">
        <v>7.94</v>
      </c>
      <c r="AC65">
        <v>0</v>
      </c>
      <c r="AD65">
        <v>1</v>
      </c>
      <c r="AE65">
        <v>1</v>
      </c>
      <c r="AG65">
        <v>35.08</v>
      </c>
      <c r="AH65">
        <v>2</v>
      </c>
      <c r="AI65">
        <v>27555917</v>
      </c>
      <c r="AJ65">
        <v>69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ROW(Source!A98)</f>
        <v>98</v>
      </c>
      <c r="B66">
        <v>27555922</v>
      </c>
      <c r="C66">
        <v>27555916</v>
      </c>
      <c r="D66">
        <v>121548</v>
      </c>
      <c r="E66">
        <v>1</v>
      </c>
      <c r="F66">
        <v>1</v>
      </c>
      <c r="G66">
        <v>1</v>
      </c>
      <c r="H66">
        <v>1</v>
      </c>
      <c r="I66" t="s">
        <v>28</v>
      </c>
      <c r="K66" t="s">
        <v>226</v>
      </c>
      <c r="L66">
        <v>608254</v>
      </c>
      <c r="N66">
        <v>1013</v>
      </c>
      <c r="O66" t="s">
        <v>227</v>
      </c>
      <c r="P66" t="s">
        <v>227</v>
      </c>
      <c r="Q66">
        <v>1</v>
      </c>
      <c r="X66">
        <v>0.07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G66">
        <v>0.07</v>
      </c>
      <c r="AH66">
        <v>2</v>
      </c>
      <c r="AI66">
        <v>27555918</v>
      </c>
      <c r="AJ66">
        <v>70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ROW(Source!A98)</f>
        <v>98</v>
      </c>
      <c r="B67">
        <v>27555923</v>
      </c>
      <c r="C67">
        <v>27555916</v>
      </c>
      <c r="D67">
        <v>24450741</v>
      </c>
      <c r="E67">
        <v>1</v>
      </c>
      <c r="F67">
        <v>1</v>
      </c>
      <c r="G67">
        <v>1</v>
      </c>
      <c r="H67">
        <v>2</v>
      </c>
      <c r="I67" t="s">
        <v>292</v>
      </c>
      <c r="J67" t="s">
        <v>293</v>
      </c>
      <c r="K67" t="s">
        <v>294</v>
      </c>
      <c r="L67">
        <v>1368</v>
      </c>
      <c r="N67">
        <v>1011</v>
      </c>
      <c r="O67" t="s">
        <v>231</v>
      </c>
      <c r="P67" t="s">
        <v>231</v>
      </c>
      <c r="Q67">
        <v>1</v>
      </c>
      <c r="X67">
        <v>0.07</v>
      </c>
      <c r="Y67">
        <v>0</v>
      </c>
      <c r="Z67">
        <v>74.61</v>
      </c>
      <c r="AA67">
        <v>13.5</v>
      </c>
      <c r="AB67">
        <v>0</v>
      </c>
      <c r="AC67">
        <v>0</v>
      </c>
      <c r="AD67">
        <v>1</v>
      </c>
      <c r="AE67">
        <v>0</v>
      </c>
      <c r="AG67">
        <v>0.07</v>
      </c>
      <c r="AH67">
        <v>2</v>
      </c>
      <c r="AI67">
        <v>27555919</v>
      </c>
      <c r="AJ67">
        <v>71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ROW(Source!A98)</f>
        <v>98</v>
      </c>
      <c r="B68">
        <v>27555924</v>
      </c>
      <c r="C68">
        <v>27555916</v>
      </c>
      <c r="D68">
        <v>24451311</v>
      </c>
      <c r="E68">
        <v>1</v>
      </c>
      <c r="F68">
        <v>1</v>
      </c>
      <c r="G68">
        <v>1</v>
      </c>
      <c r="H68">
        <v>2</v>
      </c>
      <c r="I68" t="s">
        <v>295</v>
      </c>
      <c r="J68" t="s">
        <v>296</v>
      </c>
      <c r="K68" t="s">
        <v>297</v>
      </c>
      <c r="L68">
        <v>1368</v>
      </c>
      <c r="N68">
        <v>1011</v>
      </c>
      <c r="O68" t="s">
        <v>231</v>
      </c>
      <c r="P68" t="s">
        <v>231</v>
      </c>
      <c r="Q68">
        <v>1</v>
      </c>
      <c r="X68">
        <v>0.14</v>
      </c>
      <c r="Y68">
        <v>0</v>
      </c>
      <c r="Z68">
        <v>9.62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0.14</v>
      </c>
      <c r="AH68">
        <v>2</v>
      </c>
      <c r="AI68">
        <v>27555920</v>
      </c>
      <c r="AJ68">
        <v>72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ROW(Source!A98)</f>
        <v>98</v>
      </c>
      <c r="B69">
        <v>27555925</v>
      </c>
      <c r="C69">
        <v>27555916</v>
      </c>
      <c r="D69">
        <v>24471920</v>
      </c>
      <c r="E69">
        <v>1</v>
      </c>
      <c r="F69">
        <v>1</v>
      </c>
      <c r="G69">
        <v>1</v>
      </c>
      <c r="H69">
        <v>3</v>
      </c>
      <c r="I69" t="s">
        <v>89</v>
      </c>
      <c r="J69" t="s">
        <v>92</v>
      </c>
      <c r="K69" t="s">
        <v>90</v>
      </c>
      <c r="L69">
        <v>1339</v>
      </c>
      <c r="N69">
        <v>1007</v>
      </c>
      <c r="O69" t="s">
        <v>91</v>
      </c>
      <c r="P69" t="s">
        <v>91</v>
      </c>
      <c r="Q69">
        <v>1</v>
      </c>
      <c r="X69">
        <v>15</v>
      </c>
      <c r="Y69">
        <v>131.9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15</v>
      </c>
      <c r="AH69">
        <v>2</v>
      </c>
      <c r="AI69">
        <v>27555927</v>
      </c>
      <c r="AJ69">
        <v>73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ROW(Source!A123)</f>
        <v>123</v>
      </c>
      <c r="B70">
        <v>27555979</v>
      </c>
      <c r="C70">
        <v>27555974</v>
      </c>
      <c r="D70">
        <v>24506818</v>
      </c>
      <c r="E70">
        <v>1</v>
      </c>
      <c r="F70">
        <v>1</v>
      </c>
      <c r="G70">
        <v>1</v>
      </c>
      <c r="H70">
        <v>1</v>
      </c>
      <c r="I70" t="s">
        <v>290</v>
      </c>
      <c r="K70" t="s">
        <v>291</v>
      </c>
      <c r="L70">
        <v>1369</v>
      </c>
      <c r="N70">
        <v>1013</v>
      </c>
      <c r="O70" t="s">
        <v>225</v>
      </c>
      <c r="P70" t="s">
        <v>225</v>
      </c>
      <c r="Q70">
        <v>1</v>
      </c>
      <c r="X70">
        <v>35.08</v>
      </c>
      <c r="Y70">
        <v>0</v>
      </c>
      <c r="Z70">
        <v>0</v>
      </c>
      <c r="AA70">
        <v>0</v>
      </c>
      <c r="AB70">
        <v>7.94</v>
      </c>
      <c r="AC70">
        <v>0</v>
      </c>
      <c r="AD70">
        <v>1</v>
      </c>
      <c r="AE70">
        <v>1</v>
      </c>
      <c r="AG70">
        <v>35.08</v>
      </c>
      <c r="AH70">
        <v>2</v>
      </c>
      <c r="AI70">
        <v>27555975</v>
      </c>
      <c r="AJ70">
        <v>76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ROW(Source!A123)</f>
        <v>123</v>
      </c>
      <c r="B71">
        <v>27555980</v>
      </c>
      <c r="C71">
        <v>27555974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28</v>
      </c>
      <c r="K71" t="s">
        <v>226</v>
      </c>
      <c r="L71">
        <v>608254</v>
      </c>
      <c r="N71">
        <v>1013</v>
      </c>
      <c r="O71" t="s">
        <v>227</v>
      </c>
      <c r="P71" t="s">
        <v>227</v>
      </c>
      <c r="Q71">
        <v>1</v>
      </c>
      <c r="X71">
        <v>0.07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G71">
        <v>0.07</v>
      </c>
      <c r="AH71">
        <v>2</v>
      </c>
      <c r="AI71">
        <v>27555976</v>
      </c>
      <c r="AJ71">
        <v>77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ROW(Source!A123)</f>
        <v>123</v>
      </c>
      <c r="B72">
        <v>27555981</v>
      </c>
      <c r="C72">
        <v>27555974</v>
      </c>
      <c r="D72">
        <v>24450741</v>
      </c>
      <c r="E72">
        <v>1</v>
      </c>
      <c r="F72">
        <v>1</v>
      </c>
      <c r="G72">
        <v>1</v>
      </c>
      <c r="H72">
        <v>2</v>
      </c>
      <c r="I72" t="s">
        <v>292</v>
      </c>
      <c r="J72" t="s">
        <v>293</v>
      </c>
      <c r="K72" t="s">
        <v>294</v>
      </c>
      <c r="L72">
        <v>1368</v>
      </c>
      <c r="N72">
        <v>1011</v>
      </c>
      <c r="O72" t="s">
        <v>231</v>
      </c>
      <c r="P72" t="s">
        <v>231</v>
      </c>
      <c r="Q72">
        <v>1</v>
      </c>
      <c r="X72">
        <v>0.07</v>
      </c>
      <c r="Y72">
        <v>0</v>
      </c>
      <c r="Z72">
        <v>74.61</v>
      </c>
      <c r="AA72">
        <v>13.5</v>
      </c>
      <c r="AB72">
        <v>0</v>
      </c>
      <c r="AC72">
        <v>0</v>
      </c>
      <c r="AD72">
        <v>1</v>
      </c>
      <c r="AE72">
        <v>0</v>
      </c>
      <c r="AG72">
        <v>0.07</v>
      </c>
      <c r="AH72">
        <v>2</v>
      </c>
      <c r="AI72">
        <v>27555977</v>
      </c>
      <c r="AJ72">
        <v>78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ROW(Source!A123)</f>
        <v>123</v>
      </c>
      <c r="B73">
        <v>27555982</v>
      </c>
      <c r="C73">
        <v>27555974</v>
      </c>
      <c r="D73">
        <v>24451311</v>
      </c>
      <c r="E73">
        <v>1</v>
      </c>
      <c r="F73">
        <v>1</v>
      </c>
      <c r="G73">
        <v>1</v>
      </c>
      <c r="H73">
        <v>2</v>
      </c>
      <c r="I73" t="s">
        <v>295</v>
      </c>
      <c r="J73" t="s">
        <v>296</v>
      </c>
      <c r="K73" t="s">
        <v>297</v>
      </c>
      <c r="L73">
        <v>1368</v>
      </c>
      <c r="N73">
        <v>1011</v>
      </c>
      <c r="O73" t="s">
        <v>231</v>
      </c>
      <c r="P73" t="s">
        <v>231</v>
      </c>
      <c r="Q73">
        <v>1</v>
      </c>
      <c r="X73">
        <v>0.14</v>
      </c>
      <c r="Y73">
        <v>0</v>
      </c>
      <c r="Z73">
        <v>9.62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0.14</v>
      </c>
      <c r="AH73">
        <v>2</v>
      </c>
      <c r="AI73">
        <v>27555978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ROW(Source!A123)</f>
        <v>123</v>
      </c>
      <c r="B74">
        <v>27555983</v>
      </c>
      <c r="C74">
        <v>27555974</v>
      </c>
      <c r="D74">
        <v>24471920</v>
      </c>
      <c r="E74">
        <v>1</v>
      </c>
      <c r="F74">
        <v>1</v>
      </c>
      <c r="G74">
        <v>1</v>
      </c>
      <c r="H74">
        <v>3</v>
      </c>
      <c r="I74" t="s">
        <v>89</v>
      </c>
      <c r="J74" t="s">
        <v>92</v>
      </c>
      <c r="K74" t="s">
        <v>90</v>
      </c>
      <c r="L74">
        <v>1339</v>
      </c>
      <c r="N74">
        <v>1007</v>
      </c>
      <c r="O74" t="s">
        <v>91</v>
      </c>
      <c r="P74" t="s">
        <v>91</v>
      </c>
      <c r="Q74">
        <v>1</v>
      </c>
      <c r="X74">
        <v>15</v>
      </c>
      <c r="Y74">
        <v>131.9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15</v>
      </c>
      <c r="AH74">
        <v>2</v>
      </c>
      <c r="AI74">
        <v>27555985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ROW(Source!A127)</f>
        <v>127</v>
      </c>
      <c r="B75">
        <v>27556015</v>
      </c>
      <c r="C75">
        <v>27555990</v>
      </c>
      <c r="D75">
        <v>24508406</v>
      </c>
      <c r="E75">
        <v>1</v>
      </c>
      <c r="F75">
        <v>1</v>
      </c>
      <c r="G75">
        <v>1</v>
      </c>
      <c r="H75">
        <v>1</v>
      </c>
      <c r="I75" t="s">
        <v>239</v>
      </c>
      <c r="K75" t="s">
        <v>240</v>
      </c>
      <c r="L75">
        <v>1369</v>
      </c>
      <c r="N75">
        <v>1013</v>
      </c>
      <c r="O75" t="s">
        <v>225</v>
      </c>
      <c r="P75" t="s">
        <v>225</v>
      </c>
      <c r="Q75">
        <v>1</v>
      </c>
      <c r="X75">
        <v>430.55</v>
      </c>
      <c r="Y75">
        <v>0</v>
      </c>
      <c r="Z75">
        <v>0</v>
      </c>
      <c r="AA75">
        <v>0</v>
      </c>
      <c r="AB75">
        <v>9.18</v>
      </c>
      <c r="AC75">
        <v>0</v>
      </c>
      <c r="AD75">
        <v>1</v>
      </c>
      <c r="AE75">
        <v>1</v>
      </c>
      <c r="AG75">
        <v>430.55</v>
      </c>
      <c r="AH75">
        <v>2</v>
      </c>
      <c r="AI75">
        <v>27556015</v>
      </c>
      <c r="AJ75">
        <v>83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ROW(Source!A127)</f>
        <v>127</v>
      </c>
      <c r="B76">
        <v>27556016</v>
      </c>
      <c r="C76">
        <v>27555990</v>
      </c>
      <c r="D76">
        <v>121548</v>
      </c>
      <c r="E76">
        <v>1</v>
      </c>
      <c r="F76">
        <v>1</v>
      </c>
      <c r="G76">
        <v>1</v>
      </c>
      <c r="H76">
        <v>1</v>
      </c>
      <c r="I76" t="s">
        <v>28</v>
      </c>
      <c r="K76" t="s">
        <v>226</v>
      </c>
      <c r="L76">
        <v>608254</v>
      </c>
      <c r="N76">
        <v>1013</v>
      </c>
      <c r="O76" t="s">
        <v>227</v>
      </c>
      <c r="P76" t="s">
        <v>227</v>
      </c>
      <c r="Q76">
        <v>1</v>
      </c>
      <c r="X76">
        <v>102.92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G76">
        <v>102.92</v>
      </c>
      <c r="AH76">
        <v>2</v>
      </c>
      <c r="AI76">
        <v>27556016</v>
      </c>
      <c r="AJ76">
        <v>84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ROW(Source!A127)</f>
        <v>127</v>
      </c>
      <c r="B77">
        <v>27556017</v>
      </c>
      <c r="C77">
        <v>27555990</v>
      </c>
      <c r="D77">
        <v>24450839</v>
      </c>
      <c r="E77">
        <v>1</v>
      </c>
      <c r="F77">
        <v>1</v>
      </c>
      <c r="G77">
        <v>1</v>
      </c>
      <c r="H77">
        <v>2</v>
      </c>
      <c r="I77" t="s">
        <v>241</v>
      </c>
      <c r="J77" t="s">
        <v>242</v>
      </c>
      <c r="K77" t="s">
        <v>243</v>
      </c>
      <c r="L77">
        <v>1368</v>
      </c>
      <c r="N77">
        <v>1011</v>
      </c>
      <c r="O77" t="s">
        <v>231</v>
      </c>
      <c r="P77" t="s">
        <v>231</v>
      </c>
      <c r="Q77">
        <v>1</v>
      </c>
      <c r="X77">
        <v>98.29</v>
      </c>
      <c r="Y77">
        <v>0</v>
      </c>
      <c r="Z77">
        <v>112</v>
      </c>
      <c r="AA77">
        <v>13.5</v>
      </c>
      <c r="AB77">
        <v>0</v>
      </c>
      <c r="AC77">
        <v>0</v>
      </c>
      <c r="AD77">
        <v>1</v>
      </c>
      <c r="AE77">
        <v>0</v>
      </c>
      <c r="AG77">
        <v>98.29</v>
      </c>
      <c r="AH77">
        <v>2</v>
      </c>
      <c r="AI77">
        <v>27556017</v>
      </c>
      <c r="AJ77">
        <v>85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ROW(Source!A127)</f>
        <v>127</v>
      </c>
      <c r="B78">
        <v>27556018</v>
      </c>
      <c r="C78">
        <v>27555990</v>
      </c>
      <c r="D78">
        <v>24450908</v>
      </c>
      <c r="E78">
        <v>1</v>
      </c>
      <c r="F78">
        <v>1</v>
      </c>
      <c r="G78">
        <v>1</v>
      </c>
      <c r="H78">
        <v>2</v>
      </c>
      <c r="I78" t="s">
        <v>244</v>
      </c>
      <c r="J78" t="s">
        <v>245</v>
      </c>
      <c r="K78" t="s">
        <v>246</v>
      </c>
      <c r="L78">
        <v>1368</v>
      </c>
      <c r="N78">
        <v>1011</v>
      </c>
      <c r="O78" t="s">
        <v>231</v>
      </c>
      <c r="P78" t="s">
        <v>231</v>
      </c>
      <c r="Q78">
        <v>1</v>
      </c>
      <c r="X78">
        <v>0.33</v>
      </c>
      <c r="Y78">
        <v>0</v>
      </c>
      <c r="Z78">
        <v>99.89</v>
      </c>
      <c r="AA78">
        <v>10.06</v>
      </c>
      <c r="AB78">
        <v>0</v>
      </c>
      <c r="AC78">
        <v>0</v>
      </c>
      <c r="AD78">
        <v>1</v>
      </c>
      <c r="AE78">
        <v>0</v>
      </c>
      <c r="AG78">
        <v>0.33</v>
      </c>
      <c r="AH78">
        <v>2</v>
      </c>
      <c r="AI78">
        <v>27556018</v>
      </c>
      <c r="AJ78">
        <v>86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ROW(Source!A127)</f>
        <v>127</v>
      </c>
      <c r="B79">
        <v>27556019</v>
      </c>
      <c r="C79">
        <v>27555990</v>
      </c>
      <c r="D79">
        <v>24451039</v>
      </c>
      <c r="E79">
        <v>1</v>
      </c>
      <c r="F79">
        <v>1</v>
      </c>
      <c r="G79">
        <v>1</v>
      </c>
      <c r="H79">
        <v>2</v>
      </c>
      <c r="I79" t="s">
        <v>247</v>
      </c>
      <c r="J79" t="s">
        <v>248</v>
      </c>
      <c r="K79" t="s">
        <v>249</v>
      </c>
      <c r="L79">
        <v>1368</v>
      </c>
      <c r="N79">
        <v>1011</v>
      </c>
      <c r="O79" t="s">
        <v>231</v>
      </c>
      <c r="P79" t="s">
        <v>231</v>
      </c>
      <c r="Q79">
        <v>1</v>
      </c>
      <c r="X79">
        <v>16.35</v>
      </c>
      <c r="Y79">
        <v>0</v>
      </c>
      <c r="Z79">
        <v>8.1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16.35</v>
      </c>
      <c r="AH79">
        <v>2</v>
      </c>
      <c r="AI79">
        <v>27556019</v>
      </c>
      <c r="AJ79">
        <v>87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ROW(Source!A127)</f>
        <v>127</v>
      </c>
      <c r="B80">
        <v>27556020</v>
      </c>
      <c r="C80">
        <v>27555990</v>
      </c>
      <c r="D80">
        <v>24451149</v>
      </c>
      <c r="E80">
        <v>1</v>
      </c>
      <c r="F80">
        <v>1</v>
      </c>
      <c r="G80">
        <v>1</v>
      </c>
      <c r="H80">
        <v>2</v>
      </c>
      <c r="I80" t="s">
        <v>250</v>
      </c>
      <c r="J80" t="s">
        <v>251</v>
      </c>
      <c r="K80" t="s">
        <v>252</v>
      </c>
      <c r="L80">
        <v>1368</v>
      </c>
      <c r="N80">
        <v>1011</v>
      </c>
      <c r="O80" t="s">
        <v>231</v>
      </c>
      <c r="P80" t="s">
        <v>231</v>
      </c>
      <c r="Q80">
        <v>1</v>
      </c>
      <c r="X80">
        <v>4.3</v>
      </c>
      <c r="Y80">
        <v>0</v>
      </c>
      <c r="Z80">
        <v>70.01</v>
      </c>
      <c r="AA80">
        <v>11.6</v>
      </c>
      <c r="AB80">
        <v>0</v>
      </c>
      <c r="AC80">
        <v>0</v>
      </c>
      <c r="AD80">
        <v>1</v>
      </c>
      <c r="AE80">
        <v>0</v>
      </c>
      <c r="AG80">
        <v>4.3</v>
      </c>
      <c r="AH80">
        <v>2</v>
      </c>
      <c r="AI80">
        <v>27556020</v>
      </c>
      <c r="AJ80">
        <v>88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ROW(Source!A127)</f>
        <v>127</v>
      </c>
      <c r="B81">
        <v>27556021</v>
      </c>
      <c r="C81">
        <v>27555990</v>
      </c>
      <c r="D81">
        <v>24452575</v>
      </c>
      <c r="E81">
        <v>1</v>
      </c>
      <c r="F81">
        <v>1</v>
      </c>
      <c r="G81">
        <v>1</v>
      </c>
      <c r="H81">
        <v>2</v>
      </c>
      <c r="I81" t="s">
        <v>253</v>
      </c>
      <c r="J81" t="s">
        <v>254</v>
      </c>
      <c r="K81" t="s">
        <v>255</v>
      </c>
      <c r="L81">
        <v>1368</v>
      </c>
      <c r="N81">
        <v>1011</v>
      </c>
      <c r="O81" t="s">
        <v>231</v>
      </c>
      <c r="P81" t="s">
        <v>231</v>
      </c>
      <c r="Q81">
        <v>1</v>
      </c>
      <c r="X81">
        <v>7.15</v>
      </c>
      <c r="Y81">
        <v>0</v>
      </c>
      <c r="Z81">
        <v>87.17</v>
      </c>
      <c r="AA81">
        <v>11.6</v>
      </c>
      <c r="AB81">
        <v>0</v>
      </c>
      <c r="AC81">
        <v>0</v>
      </c>
      <c r="AD81">
        <v>1</v>
      </c>
      <c r="AE81">
        <v>0</v>
      </c>
      <c r="AG81">
        <v>7.15</v>
      </c>
      <c r="AH81">
        <v>2</v>
      </c>
      <c r="AI81">
        <v>27556021</v>
      </c>
      <c r="AJ81">
        <v>89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ROW(Source!A127)</f>
        <v>127</v>
      </c>
      <c r="B82">
        <v>27556022</v>
      </c>
      <c r="C82">
        <v>27555990</v>
      </c>
      <c r="D82">
        <v>24454189</v>
      </c>
      <c r="E82">
        <v>1</v>
      </c>
      <c r="F82">
        <v>1</v>
      </c>
      <c r="G82">
        <v>1</v>
      </c>
      <c r="H82">
        <v>3</v>
      </c>
      <c r="I82" t="s">
        <v>256</v>
      </c>
      <c r="J82" t="s">
        <v>257</v>
      </c>
      <c r="K82" t="s">
        <v>258</v>
      </c>
      <c r="L82">
        <v>1348</v>
      </c>
      <c r="N82">
        <v>1009</v>
      </c>
      <c r="O82" t="s">
        <v>39</v>
      </c>
      <c r="P82" t="s">
        <v>39</v>
      </c>
      <c r="Q82">
        <v>1000</v>
      </c>
      <c r="X82">
        <v>1.02</v>
      </c>
      <c r="Y82">
        <v>412.01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1.02</v>
      </c>
      <c r="AH82">
        <v>2</v>
      </c>
      <c r="AI82">
        <v>27556022</v>
      </c>
      <c r="AJ82">
        <v>90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ROW(Source!A127)</f>
        <v>127</v>
      </c>
      <c r="B83">
        <v>27556023</v>
      </c>
      <c r="C83">
        <v>27555990</v>
      </c>
      <c r="D83">
        <v>24454280</v>
      </c>
      <c r="E83">
        <v>1</v>
      </c>
      <c r="F83">
        <v>1</v>
      </c>
      <c r="G83">
        <v>1</v>
      </c>
      <c r="H83">
        <v>3</v>
      </c>
      <c r="I83" t="s">
        <v>259</v>
      </c>
      <c r="J83" t="s">
        <v>260</v>
      </c>
      <c r="K83" t="s">
        <v>261</v>
      </c>
      <c r="L83">
        <v>1348</v>
      </c>
      <c r="N83">
        <v>1009</v>
      </c>
      <c r="O83" t="s">
        <v>39</v>
      </c>
      <c r="P83" t="s">
        <v>39</v>
      </c>
      <c r="Q83">
        <v>1000</v>
      </c>
      <c r="X83">
        <v>0.03</v>
      </c>
      <c r="Y83">
        <v>9423.99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0.03</v>
      </c>
      <c r="AH83">
        <v>2</v>
      </c>
      <c r="AI83">
        <v>27556023</v>
      </c>
      <c r="AJ83">
        <v>91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ROW(Source!A127)</f>
        <v>127</v>
      </c>
      <c r="B84">
        <v>27556024</v>
      </c>
      <c r="C84">
        <v>27555990</v>
      </c>
      <c r="D84">
        <v>24471559</v>
      </c>
      <c r="E84">
        <v>1</v>
      </c>
      <c r="F84">
        <v>1</v>
      </c>
      <c r="G84">
        <v>1</v>
      </c>
      <c r="H84">
        <v>3</v>
      </c>
      <c r="I84" t="s">
        <v>262</v>
      </c>
      <c r="J84" t="s">
        <v>263</v>
      </c>
      <c r="K84" t="s">
        <v>264</v>
      </c>
      <c r="L84">
        <v>1354</v>
      </c>
      <c r="N84">
        <v>1010</v>
      </c>
      <c r="O84" t="s">
        <v>20</v>
      </c>
      <c r="P84" t="s">
        <v>20</v>
      </c>
      <c r="Q84">
        <v>1</v>
      </c>
      <c r="X84">
        <v>100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G84">
        <v>100</v>
      </c>
      <c r="AH84">
        <v>2</v>
      </c>
      <c r="AI84">
        <v>27556024</v>
      </c>
      <c r="AJ84">
        <v>93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ROW(Source!A127)</f>
        <v>127</v>
      </c>
      <c r="B85">
        <v>27556025</v>
      </c>
      <c r="C85">
        <v>27555990</v>
      </c>
      <c r="D85">
        <v>24471969</v>
      </c>
      <c r="E85">
        <v>1</v>
      </c>
      <c r="F85">
        <v>1</v>
      </c>
      <c r="G85">
        <v>1</v>
      </c>
      <c r="H85">
        <v>3</v>
      </c>
      <c r="I85" t="s">
        <v>265</v>
      </c>
      <c r="J85" t="s">
        <v>266</v>
      </c>
      <c r="K85" t="s">
        <v>267</v>
      </c>
      <c r="L85">
        <v>1339</v>
      </c>
      <c r="N85">
        <v>1007</v>
      </c>
      <c r="O85" t="s">
        <v>91</v>
      </c>
      <c r="P85" t="s">
        <v>91</v>
      </c>
      <c r="Q85">
        <v>1</v>
      </c>
      <c r="X85">
        <v>3</v>
      </c>
      <c r="Y85">
        <v>137.61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3</v>
      </c>
      <c r="AH85">
        <v>2</v>
      </c>
      <c r="AI85">
        <v>27556025</v>
      </c>
      <c r="AJ85">
        <v>94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ROW(Source!A127)</f>
        <v>127</v>
      </c>
      <c r="B86">
        <v>27556026</v>
      </c>
      <c r="C86">
        <v>27555990</v>
      </c>
      <c r="D86">
        <v>24472293</v>
      </c>
      <c r="E86">
        <v>1</v>
      </c>
      <c r="F86">
        <v>1</v>
      </c>
      <c r="G86">
        <v>1</v>
      </c>
      <c r="H86">
        <v>3</v>
      </c>
      <c r="I86" t="s">
        <v>268</v>
      </c>
      <c r="J86" t="s">
        <v>269</v>
      </c>
      <c r="K86" t="s">
        <v>270</v>
      </c>
      <c r="L86">
        <v>1339</v>
      </c>
      <c r="N86">
        <v>1007</v>
      </c>
      <c r="O86" t="s">
        <v>91</v>
      </c>
      <c r="P86" t="s">
        <v>91</v>
      </c>
      <c r="Q86">
        <v>1</v>
      </c>
      <c r="X86">
        <v>0.79</v>
      </c>
      <c r="Y86">
        <v>2.44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0.79</v>
      </c>
      <c r="AH86">
        <v>2</v>
      </c>
      <c r="AI86">
        <v>27556026</v>
      </c>
      <c r="AJ86">
        <v>95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ROW(Source!A129)</f>
        <v>129</v>
      </c>
      <c r="B87">
        <v>27556781</v>
      </c>
      <c r="C87">
        <v>27556780</v>
      </c>
      <c r="D87">
        <v>24505618</v>
      </c>
      <c r="E87">
        <v>1</v>
      </c>
      <c r="F87">
        <v>1</v>
      </c>
      <c r="G87">
        <v>1</v>
      </c>
      <c r="H87">
        <v>1</v>
      </c>
      <c r="I87" t="s">
        <v>298</v>
      </c>
      <c r="K87" t="s">
        <v>299</v>
      </c>
      <c r="L87">
        <v>1369</v>
      </c>
      <c r="N87">
        <v>1013</v>
      </c>
      <c r="O87" t="s">
        <v>225</v>
      </c>
      <c r="P87" t="s">
        <v>225</v>
      </c>
      <c r="Q87">
        <v>1</v>
      </c>
      <c r="X87">
        <v>63.28</v>
      </c>
      <c r="Y87">
        <v>0</v>
      </c>
      <c r="Z87">
        <v>0</v>
      </c>
      <c r="AA87">
        <v>0</v>
      </c>
      <c r="AB87">
        <v>8.74</v>
      </c>
      <c r="AC87">
        <v>0</v>
      </c>
      <c r="AD87">
        <v>1</v>
      </c>
      <c r="AE87">
        <v>1</v>
      </c>
      <c r="AG87">
        <v>63.28</v>
      </c>
      <c r="AH87">
        <v>2</v>
      </c>
      <c r="AI87">
        <v>27556781</v>
      </c>
      <c r="AJ87">
        <v>96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ROW(Source!A129)</f>
        <v>129</v>
      </c>
      <c r="B88">
        <v>27556782</v>
      </c>
      <c r="C88">
        <v>27556780</v>
      </c>
      <c r="D88">
        <v>121548</v>
      </c>
      <c r="E88">
        <v>1</v>
      </c>
      <c r="F88">
        <v>1</v>
      </c>
      <c r="G88">
        <v>1</v>
      </c>
      <c r="H88">
        <v>1</v>
      </c>
      <c r="I88" t="s">
        <v>28</v>
      </c>
      <c r="K88" t="s">
        <v>226</v>
      </c>
      <c r="L88">
        <v>608254</v>
      </c>
      <c r="N88">
        <v>1013</v>
      </c>
      <c r="O88" t="s">
        <v>227</v>
      </c>
      <c r="P88" t="s">
        <v>227</v>
      </c>
      <c r="Q88">
        <v>1</v>
      </c>
      <c r="X88">
        <v>3.82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G88">
        <v>3.82</v>
      </c>
      <c r="AH88">
        <v>2</v>
      </c>
      <c r="AI88">
        <v>27556782</v>
      </c>
      <c r="AJ88">
        <v>97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ROW(Source!A129)</f>
        <v>129</v>
      </c>
      <c r="B89">
        <v>27556783</v>
      </c>
      <c r="C89">
        <v>27556780</v>
      </c>
      <c r="D89">
        <v>24450768</v>
      </c>
      <c r="E89">
        <v>1</v>
      </c>
      <c r="F89">
        <v>1</v>
      </c>
      <c r="G89">
        <v>1</v>
      </c>
      <c r="H89">
        <v>2</v>
      </c>
      <c r="I89" t="s">
        <v>300</v>
      </c>
      <c r="J89" t="s">
        <v>301</v>
      </c>
      <c r="K89" t="s">
        <v>302</v>
      </c>
      <c r="L89">
        <v>1368</v>
      </c>
      <c r="N89">
        <v>1011</v>
      </c>
      <c r="O89" t="s">
        <v>231</v>
      </c>
      <c r="P89" t="s">
        <v>231</v>
      </c>
      <c r="Q89">
        <v>1</v>
      </c>
      <c r="X89">
        <v>0.1</v>
      </c>
      <c r="Y89">
        <v>0</v>
      </c>
      <c r="Z89">
        <v>120.52</v>
      </c>
      <c r="AA89">
        <v>15.42</v>
      </c>
      <c r="AB89">
        <v>0</v>
      </c>
      <c r="AC89">
        <v>0</v>
      </c>
      <c r="AD89">
        <v>1</v>
      </c>
      <c r="AE89">
        <v>0</v>
      </c>
      <c r="AG89">
        <v>0.1</v>
      </c>
      <c r="AH89">
        <v>2</v>
      </c>
      <c r="AI89">
        <v>27556783</v>
      </c>
      <c r="AJ89">
        <v>98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ROW(Source!A129)</f>
        <v>129</v>
      </c>
      <c r="B90">
        <v>27556784</v>
      </c>
      <c r="C90">
        <v>27556780</v>
      </c>
      <c r="D90">
        <v>24450839</v>
      </c>
      <c r="E90">
        <v>1</v>
      </c>
      <c r="F90">
        <v>1</v>
      </c>
      <c r="G90">
        <v>1</v>
      </c>
      <c r="H90">
        <v>2</v>
      </c>
      <c r="I90" t="s">
        <v>241</v>
      </c>
      <c r="J90" t="s">
        <v>242</v>
      </c>
      <c r="K90" t="s">
        <v>243</v>
      </c>
      <c r="L90">
        <v>1368</v>
      </c>
      <c r="N90">
        <v>1011</v>
      </c>
      <c r="O90" t="s">
        <v>231</v>
      </c>
      <c r="P90" t="s">
        <v>231</v>
      </c>
      <c r="Q90">
        <v>1</v>
      </c>
      <c r="X90">
        <v>0.12</v>
      </c>
      <c r="Y90">
        <v>0</v>
      </c>
      <c r="Z90">
        <v>112</v>
      </c>
      <c r="AA90">
        <v>13.5</v>
      </c>
      <c r="AB90">
        <v>0</v>
      </c>
      <c r="AC90">
        <v>0</v>
      </c>
      <c r="AD90">
        <v>1</v>
      </c>
      <c r="AE90">
        <v>0</v>
      </c>
      <c r="AG90">
        <v>0.12</v>
      </c>
      <c r="AH90">
        <v>2</v>
      </c>
      <c r="AI90">
        <v>27556784</v>
      </c>
      <c r="AJ90">
        <v>99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ROW(Source!A129)</f>
        <v>129</v>
      </c>
      <c r="B91">
        <v>27556785</v>
      </c>
      <c r="C91">
        <v>27556780</v>
      </c>
      <c r="D91">
        <v>24450861</v>
      </c>
      <c r="E91">
        <v>1</v>
      </c>
      <c r="F91">
        <v>1</v>
      </c>
      <c r="G91">
        <v>1</v>
      </c>
      <c r="H91">
        <v>2</v>
      </c>
      <c r="I91" t="s">
        <v>303</v>
      </c>
      <c r="J91" t="s">
        <v>304</v>
      </c>
      <c r="K91" t="s">
        <v>305</v>
      </c>
      <c r="L91">
        <v>1368</v>
      </c>
      <c r="N91">
        <v>1011</v>
      </c>
      <c r="O91" t="s">
        <v>231</v>
      </c>
      <c r="P91" t="s">
        <v>231</v>
      </c>
      <c r="Q91">
        <v>1</v>
      </c>
      <c r="X91">
        <v>3.6</v>
      </c>
      <c r="Y91">
        <v>0</v>
      </c>
      <c r="Z91">
        <v>120.03</v>
      </c>
      <c r="AA91">
        <v>13.5</v>
      </c>
      <c r="AB91">
        <v>0</v>
      </c>
      <c r="AC91">
        <v>0</v>
      </c>
      <c r="AD91">
        <v>1</v>
      </c>
      <c r="AE91">
        <v>0</v>
      </c>
      <c r="AG91">
        <v>3.6</v>
      </c>
      <c r="AH91">
        <v>2</v>
      </c>
      <c r="AI91">
        <v>27556785</v>
      </c>
      <c r="AJ91">
        <v>100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ROW(Source!A129)</f>
        <v>129</v>
      </c>
      <c r="B92">
        <v>27556786</v>
      </c>
      <c r="C92">
        <v>27556780</v>
      </c>
      <c r="D92">
        <v>24451041</v>
      </c>
      <c r="E92">
        <v>1</v>
      </c>
      <c r="F92">
        <v>1</v>
      </c>
      <c r="G92">
        <v>1</v>
      </c>
      <c r="H92">
        <v>2</v>
      </c>
      <c r="I92" t="s">
        <v>306</v>
      </c>
      <c r="J92" t="s">
        <v>307</v>
      </c>
      <c r="K92" t="s">
        <v>308</v>
      </c>
      <c r="L92">
        <v>1368</v>
      </c>
      <c r="N92">
        <v>1011</v>
      </c>
      <c r="O92" t="s">
        <v>231</v>
      </c>
      <c r="P92" t="s">
        <v>231</v>
      </c>
      <c r="Q92">
        <v>1</v>
      </c>
      <c r="X92">
        <v>1.46</v>
      </c>
      <c r="Y92">
        <v>0</v>
      </c>
      <c r="Z92">
        <v>1.2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1.46</v>
      </c>
      <c r="AH92">
        <v>2</v>
      </c>
      <c r="AI92">
        <v>27556786</v>
      </c>
      <c r="AJ92">
        <v>101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ROW(Source!A129)</f>
        <v>129</v>
      </c>
      <c r="B93">
        <v>27556787</v>
      </c>
      <c r="C93">
        <v>27556780</v>
      </c>
      <c r="D93">
        <v>24451048</v>
      </c>
      <c r="E93">
        <v>1</v>
      </c>
      <c r="F93">
        <v>1</v>
      </c>
      <c r="G93">
        <v>1</v>
      </c>
      <c r="H93">
        <v>2</v>
      </c>
      <c r="I93" t="s">
        <v>309</v>
      </c>
      <c r="J93" t="s">
        <v>310</v>
      </c>
      <c r="K93" t="s">
        <v>311</v>
      </c>
      <c r="L93">
        <v>1368</v>
      </c>
      <c r="N93">
        <v>1011</v>
      </c>
      <c r="O93" t="s">
        <v>231</v>
      </c>
      <c r="P93" t="s">
        <v>231</v>
      </c>
      <c r="Q93">
        <v>1</v>
      </c>
      <c r="X93">
        <v>0.1</v>
      </c>
      <c r="Y93">
        <v>0</v>
      </c>
      <c r="Z93">
        <v>12.31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0.1</v>
      </c>
      <c r="AH93">
        <v>2</v>
      </c>
      <c r="AI93">
        <v>27556787</v>
      </c>
      <c r="AJ93">
        <v>102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ROW(Source!A129)</f>
        <v>129</v>
      </c>
      <c r="B94">
        <v>27556788</v>
      </c>
      <c r="C94">
        <v>27556780</v>
      </c>
      <c r="D94">
        <v>24452575</v>
      </c>
      <c r="E94">
        <v>1</v>
      </c>
      <c r="F94">
        <v>1</v>
      </c>
      <c r="G94">
        <v>1</v>
      </c>
      <c r="H94">
        <v>2</v>
      </c>
      <c r="I94" t="s">
        <v>253</v>
      </c>
      <c r="J94" t="s">
        <v>254</v>
      </c>
      <c r="K94" t="s">
        <v>255</v>
      </c>
      <c r="L94">
        <v>1368</v>
      </c>
      <c r="N94">
        <v>1011</v>
      </c>
      <c r="O94" t="s">
        <v>231</v>
      </c>
      <c r="P94" t="s">
        <v>231</v>
      </c>
      <c r="Q94">
        <v>1</v>
      </c>
      <c r="X94">
        <v>0.19</v>
      </c>
      <c r="Y94">
        <v>0</v>
      </c>
      <c r="Z94">
        <v>87.17</v>
      </c>
      <c r="AA94">
        <v>11.6</v>
      </c>
      <c r="AB94">
        <v>0</v>
      </c>
      <c r="AC94">
        <v>0</v>
      </c>
      <c r="AD94">
        <v>1</v>
      </c>
      <c r="AE94">
        <v>0</v>
      </c>
      <c r="AG94">
        <v>0.19</v>
      </c>
      <c r="AH94">
        <v>2</v>
      </c>
      <c r="AI94">
        <v>27556788</v>
      </c>
      <c r="AJ94">
        <v>103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ROW(Source!A129)</f>
        <v>129</v>
      </c>
      <c r="B95">
        <v>27556789</v>
      </c>
      <c r="C95">
        <v>27556780</v>
      </c>
      <c r="D95">
        <v>24453552</v>
      </c>
      <c r="E95">
        <v>1</v>
      </c>
      <c r="F95">
        <v>1</v>
      </c>
      <c r="G95">
        <v>1</v>
      </c>
      <c r="H95">
        <v>3</v>
      </c>
      <c r="I95" t="s">
        <v>312</v>
      </c>
      <c r="J95" t="s">
        <v>313</v>
      </c>
      <c r="K95" t="s">
        <v>314</v>
      </c>
      <c r="L95">
        <v>1348</v>
      </c>
      <c r="N95">
        <v>1009</v>
      </c>
      <c r="O95" t="s">
        <v>39</v>
      </c>
      <c r="P95" t="s">
        <v>39</v>
      </c>
      <c r="Q95">
        <v>1000</v>
      </c>
      <c r="X95">
        <v>0.0001</v>
      </c>
      <c r="Y95">
        <v>37900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0.0001</v>
      </c>
      <c r="AH95">
        <v>2</v>
      </c>
      <c r="AI95">
        <v>27556789</v>
      </c>
      <c r="AJ95">
        <v>104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ROW(Source!A129)</f>
        <v>129</v>
      </c>
      <c r="B96">
        <v>27556790</v>
      </c>
      <c r="C96">
        <v>27556780</v>
      </c>
      <c r="D96">
        <v>24453562</v>
      </c>
      <c r="E96">
        <v>1</v>
      </c>
      <c r="F96">
        <v>1</v>
      </c>
      <c r="G96">
        <v>1</v>
      </c>
      <c r="H96">
        <v>3</v>
      </c>
      <c r="I96" t="s">
        <v>315</v>
      </c>
      <c r="J96" t="s">
        <v>316</v>
      </c>
      <c r="K96" t="s">
        <v>317</v>
      </c>
      <c r="L96">
        <v>1339</v>
      </c>
      <c r="N96">
        <v>1007</v>
      </c>
      <c r="O96" t="s">
        <v>91</v>
      </c>
      <c r="P96" t="s">
        <v>91</v>
      </c>
      <c r="Q96">
        <v>1</v>
      </c>
      <c r="X96">
        <v>1.2</v>
      </c>
      <c r="Y96">
        <v>6.23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1.2</v>
      </c>
      <c r="AH96">
        <v>2</v>
      </c>
      <c r="AI96">
        <v>27556790</v>
      </c>
      <c r="AJ96">
        <v>105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ROW(Source!A129)</f>
        <v>129</v>
      </c>
      <c r="B97">
        <v>27556791</v>
      </c>
      <c r="C97">
        <v>27556780</v>
      </c>
      <c r="D97">
        <v>24453752</v>
      </c>
      <c r="E97">
        <v>1</v>
      </c>
      <c r="F97">
        <v>1</v>
      </c>
      <c r="G97">
        <v>1</v>
      </c>
      <c r="H97">
        <v>3</v>
      </c>
      <c r="I97" t="s">
        <v>318</v>
      </c>
      <c r="J97" t="s">
        <v>319</v>
      </c>
      <c r="K97" t="s">
        <v>320</v>
      </c>
      <c r="L97">
        <v>1348</v>
      </c>
      <c r="N97">
        <v>1009</v>
      </c>
      <c r="O97" t="s">
        <v>39</v>
      </c>
      <c r="P97" t="s">
        <v>39</v>
      </c>
      <c r="Q97">
        <v>1000</v>
      </c>
      <c r="X97">
        <v>3E-05</v>
      </c>
      <c r="Y97">
        <v>4455.2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3E-05</v>
      </c>
      <c r="AH97">
        <v>2</v>
      </c>
      <c r="AI97">
        <v>27556791</v>
      </c>
      <c r="AJ97">
        <v>106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ROW(Source!A129)</f>
        <v>129</v>
      </c>
      <c r="B98">
        <v>27556792</v>
      </c>
      <c r="C98">
        <v>27556780</v>
      </c>
      <c r="D98">
        <v>24453980</v>
      </c>
      <c r="E98">
        <v>1</v>
      </c>
      <c r="F98">
        <v>1</v>
      </c>
      <c r="G98">
        <v>1</v>
      </c>
      <c r="H98">
        <v>3</v>
      </c>
      <c r="I98" t="s">
        <v>321</v>
      </c>
      <c r="J98" t="s">
        <v>322</v>
      </c>
      <c r="K98" t="s">
        <v>323</v>
      </c>
      <c r="L98">
        <v>1348</v>
      </c>
      <c r="N98">
        <v>1009</v>
      </c>
      <c r="O98" t="s">
        <v>39</v>
      </c>
      <c r="P98" t="s">
        <v>39</v>
      </c>
      <c r="Q98">
        <v>1000</v>
      </c>
      <c r="X98">
        <v>0.00194</v>
      </c>
      <c r="Y98">
        <v>4920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0.00194</v>
      </c>
      <c r="AH98">
        <v>2</v>
      </c>
      <c r="AI98">
        <v>27556792</v>
      </c>
      <c r="AJ98">
        <v>107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ROW(Source!A129)</f>
        <v>129</v>
      </c>
      <c r="B99">
        <v>27556793</v>
      </c>
      <c r="C99">
        <v>27556780</v>
      </c>
      <c r="D99">
        <v>24454264</v>
      </c>
      <c r="E99">
        <v>1</v>
      </c>
      <c r="F99">
        <v>1</v>
      </c>
      <c r="G99">
        <v>1</v>
      </c>
      <c r="H99">
        <v>3</v>
      </c>
      <c r="I99" t="s">
        <v>324</v>
      </c>
      <c r="J99" t="s">
        <v>325</v>
      </c>
      <c r="K99" t="s">
        <v>326</v>
      </c>
      <c r="L99">
        <v>1348</v>
      </c>
      <c r="N99">
        <v>1009</v>
      </c>
      <c r="O99" t="s">
        <v>39</v>
      </c>
      <c r="P99" t="s">
        <v>39</v>
      </c>
      <c r="Q99">
        <v>1000</v>
      </c>
      <c r="X99">
        <v>0.00044</v>
      </c>
      <c r="Y99">
        <v>9749.99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0.00044</v>
      </c>
      <c r="AH99">
        <v>2</v>
      </c>
      <c r="AI99">
        <v>27556793</v>
      </c>
      <c r="AJ99">
        <v>108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ROW(Source!A129)</f>
        <v>129</v>
      </c>
      <c r="B100">
        <v>27556794</v>
      </c>
      <c r="C100">
        <v>27556780</v>
      </c>
      <c r="D100">
        <v>24454426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1348</v>
      </c>
      <c r="N100">
        <v>1009</v>
      </c>
      <c r="O100" t="s">
        <v>39</v>
      </c>
      <c r="P100" t="s">
        <v>39</v>
      </c>
      <c r="Q100">
        <v>1000</v>
      </c>
      <c r="X100">
        <v>0.021</v>
      </c>
      <c r="Y100">
        <v>9040.01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0.021</v>
      </c>
      <c r="AH100">
        <v>2</v>
      </c>
      <c r="AI100">
        <v>27556794</v>
      </c>
      <c r="AJ100">
        <v>109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ROW(Source!A129)</f>
        <v>129</v>
      </c>
      <c r="B101">
        <v>27556795</v>
      </c>
      <c r="C101">
        <v>27556780</v>
      </c>
      <c r="D101">
        <v>24454508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1348</v>
      </c>
      <c r="N101">
        <v>1009</v>
      </c>
      <c r="O101" t="s">
        <v>39</v>
      </c>
      <c r="P101" t="s">
        <v>39</v>
      </c>
      <c r="Q101">
        <v>1000</v>
      </c>
      <c r="X101">
        <v>1E-05</v>
      </c>
      <c r="Y101">
        <v>11978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1E-05</v>
      </c>
      <c r="AH101">
        <v>2</v>
      </c>
      <c r="AI101">
        <v>27556795</v>
      </c>
      <c r="AJ101">
        <v>110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ROW(Source!A129)</f>
        <v>129</v>
      </c>
      <c r="B102">
        <v>27556796</v>
      </c>
      <c r="C102">
        <v>27556780</v>
      </c>
      <c r="D102">
        <v>24454941</v>
      </c>
      <c r="E102">
        <v>1</v>
      </c>
      <c r="F102">
        <v>1</v>
      </c>
      <c r="G102">
        <v>1</v>
      </c>
      <c r="H102">
        <v>3</v>
      </c>
      <c r="I102" t="s">
        <v>333</v>
      </c>
      <c r="J102" t="s">
        <v>334</v>
      </c>
      <c r="K102" t="s">
        <v>335</v>
      </c>
      <c r="L102">
        <v>1346</v>
      </c>
      <c r="N102">
        <v>1009</v>
      </c>
      <c r="O102" t="s">
        <v>336</v>
      </c>
      <c r="P102" t="s">
        <v>336</v>
      </c>
      <c r="Q102">
        <v>1</v>
      </c>
      <c r="X102">
        <v>0.36</v>
      </c>
      <c r="Y102">
        <v>6.09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0.36</v>
      </c>
      <c r="AH102">
        <v>2</v>
      </c>
      <c r="AI102">
        <v>27556796</v>
      </c>
      <c r="AJ102">
        <v>111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ROW(Source!A129)</f>
        <v>129</v>
      </c>
      <c r="B103">
        <v>27556797</v>
      </c>
      <c r="C103">
        <v>27556780</v>
      </c>
      <c r="D103">
        <v>24455086</v>
      </c>
      <c r="E103">
        <v>1</v>
      </c>
      <c r="F103">
        <v>1</v>
      </c>
      <c r="G103">
        <v>1</v>
      </c>
      <c r="H103">
        <v>3</v>
      </c>
      <c r="I103" t="s">
        <v>337</v>
      </c>
      <c r="J103" t="s">
        <v>338</v>
      </c>
      <c r="K103" t="s">
        <v>339</v>
      </c>
      <c r="L103">
        <v>1348</v>
      </c>
      <c r="N103">
        <v>1009</v>
      </c>
      <c r="O103" t="s">
        <v>39</v>
      </c>
      <c r="P103" t="s">
        <v>39</v>
      </c>
      <c r="Q103">
        <v>1000</v>
      </c>
      <c r="X103">
        <v>0.0006</v>
      </c>
      <c r="Y103">
        <v>9420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0.0006</v>
      </c>
      <c r="AH103">
        <v>2</v>
      </c>
      <c r="AI103">
        <v>27556797</v>
      </c>
      <c r="AJ103">
        <v>112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ROW(Source!A129)</f>
        <v>129</v>
      </c>
      <c r="B104">
        <v>27556798</v>
      </c>
      <c r="C104">
        <v>27556780</v>
      </c>
      <c r="D104">
        <v>24456398</v>
      </c>
      <c r="E104">
        <v>1</v>
      </c>
      <c r="F104">
        <v>1</v>
      </c>
      <c r="G104">
        <v>1</v>
      </c>
      <c r="H104">
        <v>3</v>
      </c>
      <c r="I104" t="s">
        <v>340</v>
      </c>
      <c r="J104" t="s">
        <v>341</v>
      </c>
      <c r="K104" t="s">
        <v>342</v>
      </c>
      <c r="L104">
        <v>1339</v>
      </c>
      <c r="N104">
        <v>1007</v>
      </c>
      <c r="O104" t="s">
        <v>91</v>
      </c>
      <c r="P104" t="s">
        <v>91</v>
      </c>
      <c r="Q104">
        <v>1</v>
      </c>
      <c r="X104">
        <v>0.00103</v>
      </c>
      <c r="Y104">
        <v>1699.99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0.00103</v>
      </c>
      <c r="AH104">
        <v>2</v>
      </c>
      <c r="AI104">
        <v>27556798</v>
      </c>
      <c r="AJ104">
        <v>113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ROW(Source!A129)</f>
        <v>129</v>
      </c>
      <c r="B105">
        <v>27556799</v>
      </c>
      <c r="C105">
        <v>27556780</v>
      </c>
      <c r="D105">
        <v>24459559</v>
      </c>
      <c r="E105">
        <v>1</v>
      </c>
      <c r="F105">
        <v>1</v>
      </c>
      <c r="G105">
        <v>1</v>
      </c>
      <c r="H105">
        <v>3</v>
      </c>
      <c r="I105" t="s">
        <v>343</v>
      </c>
      <c r="J105" t="s">
        <v>344</v>
      </c>
      <c r="K105" t="s">
        <v>345</v>
      </c>
      <c r="L105">
        <v>1348</v>
      </c>
      <c r="N105">
        <v>1009</v>
      </c>
      <c r="O105" t="s">
        <v>39</v>
      </c>
      <c r="P105" t="s">
        <v>39</v>
      </c>
      <c r="Q105">
        <v>1000</v>
      </c>
      <c r="X105">
        <v>0.00031</v>
      </c>
      <c r="Y105">
        <v>15620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0.00031</v>
      </c>
      <c r="AH105">
        <v>2</v>
      </c>
      <c r="AI105">
        <v>27556799</v>
      </c>
      <c r="AJ105">
        <v>115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ROW(Source!A129)</f>
        <v>129</v>
      </c>
      <c r="B106">
        <v>27556800</v>
      </c>
      <c r="C106">
        <v>27556780</v>
      </c>
      <c r="D106">
        <v>24462194</v>
      </c>
      <c r="E106">
        <v>1</v>
      </c>
      <c r="F106">
        <v>1</v>
      </c>
      <c r="G106">
        <v>1</v>
      </c>
      <c r="H106">
        <v>3</v>
      </c>
      <c r="I106" t="s">
        <v>346</v>
      </c>
      <c r="J106" t="s">
        <v>347</v>
      </c>
      <c r="K106" t="s">
        <v>348</v>
      </c>
      <c r="L106">
        <v>1348</v>
      </c>
      <c r="N106">
        <v>1009</v>
      </c>
      <c r="O106" t="s">
        <v>39</v>
      </c>
      <c r="P106" t="s">
        <v>39</v>
      </c>
      <c r="Q106">
        <v>1000</v>
      </c>
      <c r="X106">
        <v>0.0002</v>
      </c>
      <c r="Y106">
        <v>7712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0.0002</v>
      </c>
      <c r="AH106">
        <v>2</v>
      </c>
      <c r="AI106">
        <v>27556800</v>
      </c>
      <c r="AJ106">
        <v>116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ROW(Source!A129)</f>
        <v>129</v>
      </c>
      <c r="B107">
        <v>27556801</v>
      </c>
      <c r="C107">
        <v>27556780</v>
      </c>
      <c r="D107">
        <v>24462500</v>
      </c>
      <c r="E107">
        <v>1</v>
      </c>
      <c r="F107">
        <v>1</v>
      </c>
      <c r="G107">
        <v>1</v>
      </c>
      <c r="H107">
        <v>3</v>
      </c>
      <c r="I107" t="s">
        <v>349</v>
      </c>
      <c r="J107" t="s">
        <v>350</v>
      </c>
      <c r="K107" t="s">
        <v>351</v>
      </c>
      <c r="L107">
        <v>1348</v>
      </c>
      <c r="N107">
        <v>1009</v>
      </c>
      <c r="O107" t="s">
        <v>39</v>
      </c>
      <c r="P107" t="s">
        <v>39</v>
      </c>
      <c r="Q107">
        <v>1000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G107">
        <v>1</v>
      </c>
      <c r="AH107">
        <v>2</v>
      </c>
      <c r="AI107">
        <v>27556801</v>
      </c>
      <c r="AJ107">
        <v>117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ROW(Source!A129)</f>
        <v>129</v>
      </c>
      <c r="B108">
        <v>27556802</v>
      </c>
      <c r="C108">
        <v>27556780</v>
      </c>
      <c r="D108">
        <v>24481780</v>
      </c>
      <c r="E108">
        <v>1</v>
      </c>
      <c r="F108">
        <v>1</v>
      </c>
      <c r="G108">
        <v>1</v>
      </c>
      <c r="H108">
        <v>3</v>
      </c>
      <c r="I108" t="s">
        <v>352</v>
      </c>
      <c r="J108" t="s">
        <v>353</v>
      </c>
      <c r="K108" t="s">
        <v>354</v>
      </c>
      <c r="L108">
        <v>1302</v>
      </c>
      <c r="N108">
        <v>1003</v>
      </c>
      <c r="O108" t="s">
        <v>355</v>
      </c>
      <c r="P108" t="s">
        <v>355</v>
      </c>
      <c r="Q108">
        <v>10</v>
      </c>
      <c r="X108">
        <v>0.0187</v>
      </c>
      <c r="Y108">
        <v>71.49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0.0187</v>
      </c>
      <c r="AH108">
        <v>2</v>
      </c>
      <c r="AI108">
        <v>27556802</v>
      </c>
      <c r="AJ108">
        <v>118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ROW(Source!A131)</f>
        <v>131</v>
      </c>
      <c r="B109">
        <v>27556914</v>
      </c>
      <c r="C109">
        <v>27556913</v>
      </c>
      <c r="D109">
        <v>24509798</v>
      </c>
      <c r="E109">
        <v>1</v>
      </c>
      <c r="F109">
        <v>1</v>
      </c>
      <c r="G109">
        <v>1</v>
      </c>
      <c r="H109">
        <v>1</v>
      </c>
      <c r="I109" t="s">
        <v>356</v>
      </c>
      <c r="K109" t="s">
        <v>357</v>
      </c>
      <c r="L109">
        <v>1369</v>
      </c>
      <c r="N109">
        <v>1013</v>
      </c>
      <c r="O109" t="s">
        <v>225</v>
      </c>
      <c r="P109" t="s">
        <v>225</v>
      </c>
      <c r="Q109">
        <v>1</v>
      </c>
      <c r="X109">
        <v>5.31</v>
      </c>
      <c r="Y109">
        <v>0</v>
      </c>
      <c r="Z109">
        <v>0</v>
      </c>
      <c r="AA109">
        <v>0</v>
      </c>
      <c r="AB109">
        <v>10.65</v>
      </c>
      <c r="AC109">
        <v>0</v>
      </c>
      <c r="AD109">
        <v>1</v>
      </c>
      <c r="AE109">
        <v>1</v>
      </c>
      <c r="AG109">
        <v>5.31</v>
      </c>
      <c r="AH109">
        <v>2</v>
      </c>
      <c r="AI109">
        <v>27556914</v>
      </c>
      <c r="AJ109">
        <v>119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ROW(Source!A131)</f>
        <v>131</v>
      </c>
      <c r="B110">
        <v>27556915</v>
      </c>
      <c r="C110">
        <v>27556913</v>
      </c>
      <c r="D110">
        <v>121548</v>
      </c>
      <c r="E110">
        <v>1</v>
      </c>
      <c r="F110">
        <v>1</v>
      </c>
      <c r="G110">
        <v>1</v>
      </c>
      <c r="H110">
        <v>1</v>
      </c>
      <c r="I110" t="s">
        <v>28</v>
      </c>
      <c r="K110" t="s">
        <v>226</v>
      </c>
      <c r="L110">
        <v>608254</v>
      </c>
      <c r="N110">
        <v>1013</v>
      </c>
      <c r="O110" t="s">
        <v>227</v>
      </c>
      <c r="P110" t="s">
        <v>227</v>
      </c>
      <c r="Q110">
        <v>1</v>
      </c>
      <c r="X110">
        <v>0.01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G110">
        <v>0.01</v>
      </c>
      <c r="AH110">
        <v>2</v>
      </c>
      <c r="AI110">
        <v>27556915</v>
      </c>
      <c r="AJ110">
        <v>120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ROW(Source!A131)</f>
        <v>131</v>
      </c>
      <c r="B111">
        <v>27556916</v>
      </c>
      <c r="C111">
        <v>27556913</v>
      </c>
      <c r="D111">
        <v>24450908</v>
      </c>
      <c r="E111">
        <v>1</v>
      </c>
      <c r="F111">
        <v>1</v>
      </c>
      <c r="G111">
        <v>1</v>
      </c>
      <c r="H111">
        <v>2</v>
      </c>
      <c r="I111" t="s">
        <v>244</v>
      </c>
      <c r="J111" t="s">
        <v>245</v>
      </c>
      <c r="K111" t="s">
        <v>246</v>
      </c>
      <c r="L111">
        <v>1368</v>
      </c>
      <c r="N111">
        <v>1011</v>
      </c>
      <c r="O111" t="s">
        <v>231</v>
      </c>
      <c r="P111" t="s">
        <v>231</v>
      </c>
      <c r="Q111">
        <v>1</v>
      </c>
      <c r="X111">
        <v>0.01</v>
      </c>
      <c r="Y111">
        <v>0</v>
      </c>
      <c r="Z111">
        <v>99.89</v>
      </c>
      <c r="AA111">
        <v>10.06</v>
      </c>
      <c r="AB111">
        <v>0</v>
      </c>
      <c r="AC111">
        <v>0</v>
      </c>
      <c r="AD111">
        <v>1</v>
      </c>
      <c r="AE111">
        <v>0</v>
      </c>
      <c r="AG111">
        <v>0.01</v>
      </c>
      <c r="AH111">
        <v>2</v>
      </c>
      <c r="AI111">
        <v>27556916</v>
      </c>
      <c r="AJ111">
        <v>121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ROW(Source!A131)</f>
        <v>131</v>
      </c>
      <c r="B112">
        <v>27556917</v>
      </c>
      <c r="C112">
        <v>27556913</v>
      </c>
      <c r="D112">
        <v>24450934</v>
      </c>
      <c r="E112">
        <v>1</v>
      </c>
      <c r="F112">
        <v>1</v>
      </c>
      <c r="G112">
        <v>1</v>
      </c>
      <c r="H112">
        <v>2</v>
      </c>
      <c r="I112" t="s">
        <v>358</v>
      </c>
      <c r="J112" t="s">
        <v>359</v>
      </c>
      <c r="K112" t="s">
        <v>360</v>
      </c>
      <c r="L112">
        <v>1368</v>
      </c>
      <c r="N112">
        <v>1011</v>
      </c>
      <c r="O112" t="s">
        <v>231</v>
      </c>
      <c r="P112" t="s">
        <v>231</v>
      </c>
      <c r="Q112">
        <v>1</v>
      </c>
      <c r="X112">
        <v>0.01</v>
      </c>
      <c r="Y112">
        <v>0</v>
      </c>
      <c r="Z112">
        <v>1.7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0.01</v>
      </c>
      <c r="AH112">
        <v>2</v>
      </c>
      <c r="AI112">
        <v>27556917</v>
      </c>
      <c r="AJ112">
        <v>122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ROW(Source!A131)</f>
        <v>131</v>
      </c>
      <c r="B113">
        <v>27556918</v>
      </c>
      <c r="C113">
        <v>27556913</v>
      </c>
      <c r="D113">
        <v>24452373</v>
      </c>
      <c r="E113">
        <v>1</v>
      </c>
      <c r="F113">
        <v>1</v>
      </c>
      <c r="G113">
        <v>1</v>
      </c>
      <c r="H113">
        <v>2</v>
      </c>
      <c r="I113" t="s">
        <v>361</v>
      </c>
      <c r="J113" t="s">
        <v>362</v>
      </c>
      <c r="K113" t="s">
        <v>363</v>
      </c>
      <c r="L113">
        <v>1368</v>
      </c>
      <c r="N113">
        <v>1011</v>
      </c>
      <c r="O113" t="s">
        <v>231</v>
      </c>
      <c r="P113" t="s">
        <v>231</v>
      </c>
      <c r="Q113">
        <v>1</v>
      </c>
      <c r="X113">
        <v>1.12</v>
      </c>
      <c r="Y113">
        <v>0</v>
      </c>
      <c r="Z113">
        <v>6.82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1.12</v>
      </c>
      <c r="AH113">
        <v>2</v>
      </c>
      <c r="AI113">
        <v>27556918</v>
      </c>
      <c r="AJ113">
        <v>123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ROW(Source!A131)</f>
        <v>131</v>
      </c>
      <c r="B114">
        <v>27556919</v>
      </c>
      <c r="C114">
        <v>27556913</v>
      </c>
      <c r="D114">
        <v>24452575</v>
      </c>
      <c r="E114">
        <v>1</v>
      </c>
      <c r="F114">
        <v>1</v>
      </c>
      <c r="G114">
        <v>1</v>
      </c>
      <c r="H114">
        <v>2</v>
      </c>
      <c r="I114" t="s">
        <v>253</v>
      </c>
      <c r="J114" t="s">
        <v>254</v>
      </c>
      <c r="K114" t="s">
        <v>255</v>
      </c>
      <c r="L114">
        <v>1368</v>
      </c>
      <c r="N114">
        <v>1011</v>
      </c>
      <c r="O114" t="s">
        <v>231</v>
      </c>
      <c r="P114" t="s">
        <v>231</v>
      </c>
      <c r="Q114">
        <v>1</v>
      </c>
      <c r="X114">
        <v>0.01</v>
      </c>
      <c r="Y114">
        <v>0</v>
      </c>
      <c r="Z114">
        <v>87.17</v>
      </c>
      <c r="AA114">
        <v>11.6</v>
      </c>
      <c r="AB114">
        <v>0</v>
      </c>
      <c r="AC114">
        <v>0</v>
      </c>
      <c r="AD114">
        <v>1</v>
      </c>
      <c r="AE114">
        <v>0</v>
      </c>
      <c r="AG114">
        <v>0.01</v>
      </c>
      <c r="AH114">
        <v>2</v>
      </c>
      <c r="AI114">
        <v>27556919</v>
      </c>
      <c r="AJ114">
        <v>124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ROW(Source!A131)</f>
        <v>131</v>
      </c>
      <c r="B115">
        <v>27556920</v>
      </c>
      <c r="C115">
        <v>27556913</v>
      </c>
      <c r="D115">
        <v>24459559</v>
      </c>
      <c r="E115">
        <v>1</v>
      </c>
      <c r="F115">
        <v>1</v>
      </c>
      <c r="G115">
        <v>1</v>
      </c>
      <c r="H115">
        <v>3</v>
      </c>
      <c r="I115" t="s">
        <v>343</v>
      </c>
      <c r="J115" t="s">
        <v>344</v>
      </c>
      <c r="K115" t="s">
        <v>345</v>
      </c>
      <c r="L115">
        <v>1348</v>
      </c>
      <c r="N115">
        <v>1009</v>
      </c>
      <c r="O115" t="s">
        <v>39</v>
      </c>
      <c r="P115" t="s">
        <v>39</v>
      </c>
      <c r="Q115">
        <v>1000</v>
      </c>
      <c r="X115">
        <v>0.012</v>
      </c>
      <c r="Y115">
        <v>15620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0.012</v>
      </c>
      <c r="AH115">
        <v>2</v>
      </c>
      <c r="AI115">
        <v>27556920</v>
      </c>
      <c r="AJ115">
        <v>125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ROW(Source!A131)</f>
        <v>131</v>
      </c>
      <c r="B116">
        <v>27556921</v>
      </c>
      <c r="C116">
        <v>27556913</v>
      </c>
      <c r="D116">
        <v>24459582</v>
      </c>
      <c r="E116">
        <v>1</v>
      </c>
      <c r="F116">
        <v>1</v>
      </c>
      <c r="G116">
        <v>1</v>
      </c>
      <c r="H116">
        <v>3</v>
      </c>
      <c r="I116" t="s">
        <v>364</v>
      </c>
      <c r="J116" t="s">
        <v>365</v>
      </c>
      <c r="K116" t="s">
        <v>366</v>
      </c>
      <c r="L116">
        <v>1348</v>
      </c>
      <c r="N116">
        <v>1009</v>
      </c>
      <c r="O116" t="s">
        <v>39</v>
      </c>
      <c r="P116" t="s">
        <v>39</v>
      </c>
      <c r="Q116">
        <v>1000</v>
      </c>
      <c r="X116">
        <v>0.002</v>
      </c>
      <c r="Y116">
        <v>7640.01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0.002</v>
      </c>
      <c r="AH116">
        <v>2</v>
      </c>
      <c r="AI116">
        <v>27556921</v>
      </c>
      <c r="AJ116">
        <v>126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ROW(Source!A132)</f>
        <v>132</v>
      </c>
      <c r="B117">
        <v>27556931</v>
      </c>
      <c r="C117">
        <v>27556922</v>
      </c>
      <c r="D117">
        <v>24504896</v>
      </c>
      <c r="E117">
        <v>1</v>
      </c>
      <c r="F117">
        <v>1</v>
      </c>
      <c r="G117">
        <v>1</v>
      </c>
      <c r="H117">
        <v>1</v>
      </c>
      <c r="I117" t="s">
        <v>223</v>
      </c>
      <c r="K117" t="s">
        <v>224</v>
      </c>
      <c r="L117">
        <v>1369</v>
      </c>
      <c r="N117">
        <v>1013</v>
      </c>
      <c r="O117" t="s">
        <v>225</v>
      </c>
      <c r="P117" t="s">
        <v>225</v>
      </c>
      <c r="Q117">
        <v>1</v>
      </c>
      <c r="X117">
        <v>3.83</v>
      </c>
      <c r="Y117">
        <v>0</v>
      </c>
      <c r="Z117">
        <v>0</v>
      </c>
      <c r="AA117">
        <v>0</v>
      </c>
      <c r="AB117">
        <v>9.07</v>
      </c>
      <c r="AC117">
        <v>0</v>
      </c>
      <c r="AD117">
        <v>1</v>
      </c>
      <c r="AE117">
        <v>1</v>
      </c>
      <c r="AG117">
        <v>3.83</v>
      </c>
      <c r="AH117">
        <v>2</v>
      </c>
      <c r="AI117">
        <v>27556923</v>
      </c>
      <c r="AJ117">
        <v>127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ROW(Source!A132)</f>
        <v>132</v>
      </c>
      <c r="B118">
        <v>27556932</v>
      </c>
      <c r="C118">
        <v>27556922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28</v>
      </c>
      <c r="K118" t="s">
        <v>226</v>
      </c>
      <c r="L118">
        <v>608254</v>
      </c>
      <c r="N118">
        <v>1013</v>
      </c>
      <c r="O118" t="s">
        <v>227</v>
      </c>
      <c r="P118" t="s">
        <v>227</v>
      </c>
      <c r="Q118">
        <v>1</v>
      </c>
      <c r="X118">
        <v>0.01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G118">
        <v>0.01</v>
      </c>
      <c r="AH118">
        <v>2</v>
      </c>
      <c r="AI118">
        <v>27556924</v>
      </c>
      <c r="AJ118">
        <v>128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ROW(Source!A132)</f>
        <v>132</v>
      </c>
      <c r="B119">
        <v>27556933</v>
      </c>
      <c r="C119">
        <v>27556922</v>
      </c>
      <c r="D119">
        <v>24450908</v>
      </c>
      <c r="E119">
        <v>1</v>
      </c>
      <c r="F119">
        <v>1</v>
      </c>
      <c r="G119">
        <v>1</v>
      </c>
      <c r="H119">
        <v>2</v>
      </c>
      <c r="I119" t="s">
        <v>244</v>
      </c>
      <c r="J119" t="s">
        <v>245</v>
      </c>
      <c r="K119" t="s">
        <v>246</v>
      </c>
      <c r="L119">
        <v>1368</v>
      </c>
      <c r="N119">
        <v>1011</v>
      </c>
      <c r="O119" t="s">
        <v>231</v>
      </c>
      <c r="P119" t="s">
        <v>231</v>
      </c>
      <c r="Q119">
        <v>1</v>
      </c>
      <c r="X119">
        <v>0.01</v>
      </c>
      <c r="Y119">
        <v>0</v>
      </c>
      <c r="Z119">
        <v>99.89</v>
      </c>
      <c r="AA119">
        <v>10.06</v>
      </c>
      <c r="AB119">
        <v>0</v>
      </c>
      <c r="AC119">
        <v>0</v>
      </c>
      <c r="AD119">
        <v>1</v>
      </c>
      <c r="AE119">
        <v>0</v>
      </c>
      <c r="AG119">
        <v>0.01</v>
      </c>
      <c r="AH119">
        <v>2</v>
      </c>
      <c r="AI119">
        <v>27556925</v>
      </c>
      <c r="AJ119">
        <v>129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ROW(Source!A132)</f>
        <v>132</v>
      </c>
      <c r="B120">
        <v>27556934</v>
      </c>
      <c r="C120">
        <v>27556922</v>
      </c>
      <c r="D120">
        <v>24450934</v>
      </c>
      <c r="E120">
        <v>1</v>
      </c>
      <c r="F120">
        <v>1</v>
      </c>
      <c r="G120">
        <v>1</v>
      </c>
      <c r="H120">
        <v>2</v>
      </c>
      <c r="I120" t="s">
        <v>358</v>
      </c>
      <c r="J120" t="s">
        <v>359</v>
      </c>
      <c r="K120" t="s">
        <v>360</v>
      </c>
      <c r="L120">
        <v>1368</v>
      </c>
      <c r="N120">
        <v>1011</v>
      </c>
      <c r="O120" t="s">
        <v>231</v>
      </c>
      <c r="P120" t="s">
        <v>231</v>
      </c>
      <c r="Q120">
        <v>1</v>
      </c>
      <c r="X120">
        <v>0.01</v>
      </c>
      <c r="Y120">
        <v>0</v>
      </c>
      <c r="Z120">
        <v>1.7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0.01</v>
      </c>
      <c r="AH120">
        <v>2</v>
      </c>
      <c r="AI120">
        <v>27556926</v>
      </c>
      <c r="AJ120">
        <v>130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ROW(Source!A132)</f>
        <v>132</v>
      </c>
      <c r="B121">
        <v>27556935</v>
      </c>
      <c r="C121">
        <v>27556922</v>
      </c>
      <c r="D121">
        <v>24452373</v>
      </c>
      <c r="E121">
        <v>1</v>
      </c>
      <c r="F121">
        <v>1</v>
      </c>
      <c r="G121">
        <v>1</v>
      </c>
      <c r="H121">
        <v>2</v>
      </c>
      <c r="I121" t="s">
        <v>361</v>
      </c>
      <c r="J121" t="s">
        <v>362</v>
      </c>
      <c r="K121" t="s">
        <v>363</v>
      </c>
      <c r="L121">
        <v>1368</v>
      </c>
      <c r="N121">
        <v>1011</v>
      </c>
      <c r="O121" t="s">
        <v>231</v>
      </c>
      <c r="P121" t="s">
        <v>231</v>
      </c>
      <c r="Q121">
        <v>1</v>
      </c>
      <c r="X121">
        <v>0.65</v>
      </c>
      <c r="Y121">
        <v>0</v>
      </c>
      <c r="Z121">
        <v>6.82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0.65</v>
      </c>
      <c r="AH121">
        <v>2</v>
      </c>
      <c r="AI121">
        <v>27556927</v>
      </c>
      <c r="AJ121">
        <v>131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ROW(Source!A132)</f>
        <v>132</v>
      </c>
      <c r="B122">
        <v>27556936</v>
      </c>
      <c r="C122">
        <v>27556922</v>
      </c>
      <c r="D122">
        <v>24452575</v>
      </c>
      <c r="E122">
        <v>1</v>
      </c>
      <c r="F122">
        <v>1</v>
      </c>
      <c r="G122">
        <v>1</v>
      </c>
      <c r="H122">
        <v>2</v>
      </c>
      <c r="I122" t="s">
        <v>253</v>
      </c>
      <c r="J122" t="s">
        <v>254</v>
      </c>
      <c r="K122" t="s">
        <v>255</v>
      </c>
      <c r="L122">
        <v>1368</v>
      </c>
      <c r="N122">
        <v>1011</v>
      </c>
      <c r="O122" t="s">
        <v>231</v>
      </c>
      <c r="P122" t="s">
        <v>231</v>
      </c>
      <c r="Q122">
        <v>1</v>
      </c>
      <c r="X122">
        <v>0.01</v>
      </c>
      <c r="Y122">
        <v>0</v>
      </c>
      <c r="Z122">
        <v>87.17</v>
      </c>
      <c r="AA122">
        <v>11.6</v>
      </c>
      <c r="AB122">
        <v>0</v>
      </c>
      <c r="AC122">
        <v>0</v>
      </c>
      <c r="AD122">
        <v>1</v>
      </c>
      <c r="AE122">
        <v>0</v>
      </c>
      <c r="AG122">
        <v>0.01</v>
      </c>
      <c r="AH122">
        <v>2</v>
      </c>
      <c r="AI122">
        <v>27556928</v>
      </c>
      <c r="AJ122">
        <v>132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ROW(Source!A132)</f>
        <v>132</v>
      </c>
      <c r="B123">
        <v>27556937</v>
      </c>
      <c r="C123">
        <v>27556922</v>
      </c>
      <c r="D123">
        <v>24454182</v>
      </c>
      <c r="E123">
        <v>1</v>
      </c>
      <c r="F123">
        <v>1</v>
      </c>
      <c r="G123">
        <v>1</v>
      </c>
      <c r="H123">
        <v>3</v>
      </c>
      <c r="I123" t="s">
        <v>367</v>
      </c>
      <c r="J123" t="s">
        <v>368</v>
      </c>
      <c r="K123" t="s">
        <v>369</v>
      </c>
      <c r="L123">
        <v>1348</v>
      </c>
      <c r="N123">
        <v>1009</v>
      </c>
      <c r="O123" t="s">
        <v>39</v>
      </c>
      <c r="P123" t="s">
        <v>39</v>
      </c>
      <c r="Q123">
        <v>1000</v>
      </c>
      <c r="X123">
        <v>0.0014</v>
      </c>
      <c r="Y123">
        <v>6667.01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0.0014</v>
      </c>
      <c r="AH123">
        <v>2</v>
      </c>
      <c r="AI123">
        <v>27556929</v>
      </c>
      <c r="AJ123">
        <v>133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ROW(Source!A132)</f>
        <v>132</v>
      </c>
      <c r="B124">
        <v>27556938</v>
      </c>
      <c r="C124">
        <v>27556922</v>
      </c>
      <c r="D124">
        <v>24459631</v>
      </c>
      <c r="E124">
        <v>1</v>
      </c>
      <c r="F124">
        <v>1</v>
      </c>
      <c r="G124">
        <v>1</v>
      </c>
      <c r="H124">
        <v>3</v>
      </c>
      <c r="I124" t="s">
        <v>370</v>
      </c>
      <c r="J124" t="s">
        <v>371</v>
      </c>
      <c r="K124" t="s">
        <v>372</v>
      </c>
      <c r="L124">
        <v>1348</v>
      </c>
      <c r="N124">
        <v>1009</v>
      </c>
      <c r="O124" t="s">
        <v>39</v>
      </c>
      <c r="P124" t="s">
        <v>39</v>
      </c>
      <c r="Q124">
        <v>1000</v>
      </c>
      <c r="X124">
        <v>0.019</v>
      </c>
      <c r="Y124">
        <v>14985.76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0.019</v>
      </c>
      <c r="AH124">
        <v>2</v>
      </c>
      <c r="AI124">
        <v>27556930</v>
      </c>
      <c r="AJ124">
        <v>134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2012-09-04T10:26:58Z</cp:lastPrinted>
  <dcterms:modified xsi:type="dcterms:W3CDTF">2012-09-04T10:27:01Z</dcterms:modified>
  <cp:category/>
  <cp:version/>
  <cp:contentType/>
  <cp:contentStatus/>
</cp:coreProperties>
</file>