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110" firstSheet="1" activeTab="2"/>
  </bookViews>
  <sheets>
    <sheet name="Дефектная ведомость" sheetId="1" r:id="rId1"/>
    <sheet name="Акт КС-2 для ТЕР МО (индекс " sheetId="2" r:id="rId2"/>
    <sheet name="Локальная смета 12 гр. Для Т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КС-2 для ТЕР МО (индекс '!$30:$30</definedName>
    <definedName name="_xlnm.Print_Titles" localSheetId="0">'Дефектная ведомость'!$19:$19</definedName>
    <definedName name="_xlnm.Print_Titles" localSheetId="2">'Локальная смета 12 гр. Для Т'!$39:$39</definedName>
    <definedName name="_xlnm.Print_Area" localSheetId="1">'Акт КС-2 для ТЕР МО (индекс '!$A$1:$L$93</definedName>
    <definedName name="_xlnm.Print_Area" localSheetId="2">'Локальная смета 12 гр. Для Т'!$A$1:$L$101</definedName>
  </definedNames>
  <calcPr fullCalcOnLoad="1"/>
</workbook>
</file>

<file path=xl/sharedStrings.xml><?xml version="1.0" encoding="utf-8"?>
<sst xmlns="http://schemas.openxmlformats.org/spreadsheetml/2006/main" count="1049" uniqueCount="275">
  <si>
    <t>Smeta.ru  (495) 974-1589</t>
  </si>
  <si>
    <t>_PS_</t>
  </si>
  <si>
    <t>Smeta.ru</t>
  </si>
  <si>
    <t/>
  </si>
  <si>
    <t>Новый объект</t>
  </si>
  <si>
    <t>ТСНБ-2001 Московская область</t>
  </si>
  <si>
    <t>Сметные нормы списания</t>
  </si>
  <si>
    <t>Коды ценников</t>
  </si>
  <si>
    <t>ТСНБ+ФЕР 2012</t>
  </si>
  <si>
    <t>Версия 7.0.0.14 от 02.08.2012: для ФЕР, с п.3757-КК/08, п.6056-ИП/08,п.10753-ВТ/08 и п.15127-ИП/08 (Кап. ремонт произоводственных зд.): Центральные регионы: Текущие цены</t>
  </si>
  <si>
    <t>ТСНБ-2001 Московской области</t>
  </si>
  <si>
    <t>Поправки  для НБ 2001 года  в ред. 2009 года от 29.03.2011</t>
  </si>
  <si>
    <t>Новая локальная смета</t>
  </si>
  <si>
    <t>{9C76272F-F118-46E9-A95A-235DC1799A12}</t>
  </si>
  <si>
    <t>1</t>
  </si>
  <si>
    <t>27-07-002-1</t>
  </si>
  <si>
    <t>100 м2</t>
  </si>
  <si>
    <t>ТСНБ-2001 Московская обл 27-07-002-1, распоряжение №52 от 06.09.2011г.</t>
  </si>
  <si>
    <t>100 м2 дорожек и тротуаров</t>
  </si>
  <si>
    <t>Общестроительные работы</t>
  </si>
  <si>
    <t>Автомобильные дороги</t>
  </si>
  <si>
    <t>ФЕР-27</t>
  </si>
  <si>
    <t>*0.85</t>
  </si>
  <si>
    <t>((*0.85))</t>
  </si>
  <si>
    <t>((*0.8))</t>
  </si>
  <si>
    <t>2</t>
  </si>
  <si>
    <t>27-07-002-2</t>
  </si>
  <si>
    <t>На каждый 1 см изменения толщины оснований добавлять или исключать к расценке 27-07-002-01</t>
  </si>
  <si>
    <t>ТСНБ-2001 Московская обл 27-07-002-2, распоряжение №52 от 06.09.2011г.</t>
  </si>
  <si>
    <t>*-2</t>
  </si>
  <si>
    <t>3</t>
  </si>
  <si>
    <t>27-07-001-1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</si>
  <si>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</si>
  <si>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ТСНБ-2001 Московская обл 27-07-001-1, распоряжение №52 от 06.09.2011г.</t>
  </si>
  <si>
    <t>100 м2 покрытия</t>
  </si>
  <si>
    <t>3,1</t>
  </si>
  <si>
    <t>410-0054</t>
  </si>
  <si>
    <t>Асфальт литой для покрытий тротуаров тип II (жесткий)</t>
  </si>
  <si>
    <t>т</t>
  </si>
  <si>
    <t>ТСНБ-2001 Московская обл распоряжение № 51от 06.09.2011г. 410-0054</t>
  </si>
  <si>
    <t>4</t>
  </si>
  <si>
    <t>410-0013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</si>
  <si>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t>
  </si>
  <si>
    <t>ТСНБ-2001 Московская обл распоряжение № 51от 06.09.2011г. 410-0013</t>
  </si>
  <si>
    <t>Материалы</t>
  </si>
  <si>
    <t>Материалы и конструкции ( строительные )</t>
  </si>
  <si>
    <t>ФССЦ</t>
  </si>
  <si>
    <t>5</t>
  </si>
  <si>
    <t>27-07-001-2</t>
  </si>
  <si>
    <t>На каждые 0,5 см изменения толщины покрытия добавлять к расценке 27-07-001-01</t>
  </si>
  <si>
    <t>ТСНБ-2001 Московская обл 27-07-001-2, распоряжение №52 от 06.09.2011г.</t>
  </si>
  <si>
    <t>*4</t>
  </si>
  <si>
    <t>5,1</t>
  </si>
  <si>
    <t>6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</si>
  <si>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</si>
  <si>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</si>
  <si>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</si>
  <si>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</si>
  <si>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</si>
  <si>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</si>
  <si>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</si>
  <si>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</si>
  <si>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</si>
  <si>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</si>
  <si>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</si>
  <si>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</si>
  <si>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</si>
  <si>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</si>
  <si>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</si>
  <si>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</si>
  <si>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</si>
  <si>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</si>
  <si>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</si>
  <si>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</si>
  <si>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</si>
  <si>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</si>
  <si>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</si>
  <si>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</si>
  <si>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</si>
  <si>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</si>
  <si>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</si>
  <si>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</t>
  </si>
  <si>
    <t>Итог2</t>
  </si>
  <si>
    <t>НДС 18%</t>
  </si>
  <si>
    <t>ВСЕГО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</si>
  <si>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</si>
  <si>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</si>
  <si>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</si>
  <si>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</si>
  <si>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</si>
  <si>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</si>
  <si>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</si>
  <si>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</si>
  <si>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</si>
  <si>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</si>
  <si>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</si>
  <si>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</si>
  <si>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</si>
  <si>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</si>
  <si>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</si>
  <si>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</si>
  <si>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</si>
  <si>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</si>
  <si>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</si>
  <si>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</si>
  <si>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</si>
  <si>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</si>
  <si>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</si>
  <si>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</si>
  <si>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</si>
  <si>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</si>
  <si>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</si>
  <si>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</si>
  <si>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</si>
  <si>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</si>
  <si>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</si>
  <si>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</si>
  <si>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</si>
  <si>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</si>
  <si>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</si>
  <si>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</si>
  <si>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</si>
  <si>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</si>
  <si>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</si>
  <si>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</si>
  <si>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</si>
  <si>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</si>
  <si>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</si>
  <si>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</si>
  <si>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</si>
  <si>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1-1029-90</t>
  </si>
  <si>
    <t>Рабочий строитель среднего разряда 2,9</t>
  </si>
  <si>
    <t>чел.-ч</t>
  </si>
  <si>
    <t>Затраты труда машинистов</t>
  </si>
  <si>
    <t>чел.час</t>
  </si>
  <si>
    <t>030101</t>
  </si>
  <si>
    <t>ТСНБ-2001 Московская обл распоряжение № 51от 06.09.2011г. 030101</t>
  </si>
  <si>
    <t>Автопогрузчики 5 т</t>
  </si>
  <si>
    <t>маш.-ч</t>
  </si>
  <si>
    <t>120906</t>
  </si>
  <si>
    <t>ТСНБ-2001 Московская обл распоряжение № 51от 06.09.2011г. 120906</t>
  </si>
  <si>
    <t>Катки дорожные самоходные гладкие 8 т</t>
  </si>
  <si>
    <t>121601</t>
  </si>
  <si>
    <t>ТСНБ-2001 Московская обл распоряжение № 51от 06.09.2011г. 121601</t>
  </si>
  <si>
    <t>Машины поливомоечные 6000 л</t>
  </si>
  <si>
    <t>408-0391</t>
  </si>
  <si>
    <t>ТСНБ-2001 Московская обл распоряжение № 51от 06.09.2011г. 408-0391</t>
  </si>
  <si>
    <t>Щебень известняковый для строительных работ марки 600 фракции 5-10 мм</t>
  </si>
  <si>
    <t>м3</t>
  </si>
  <si>
    <t>411-0001</t>
  </si>
  <si>
    <t>ТСНБ-2001 Московская обл распоряжение № 51от 06.09.2011г. 411-0001</t>
  </si>
  <si>
    <t>Вода</t>
  </si>
  <si>
    <t>1-1037-90</t>
  </si>
  <si>
    <t>Рабочий строитель среднего разряда 3,7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</si>
  <si>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</si>
  <si>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</si>
  <si>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</si>
  <si>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122801</t>
  </si>
  <si>
    <t>ТСНБ-2001 Московская обл распоряжение № 51от 06.09.2011г. 122801</t>
  </si>
  <si>
    <t>Виброплита с двигателем внутреннего сгорания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</si>
  <si>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</si>
  <si>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</si>
  <si>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</si>
  <si>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101-1561</t>
  </si>
  <si>
    <t>ТСНБ-2001 Московская обл 101-1561</t>
  </si>
  <si>
    <t>Битумы нефтяные дорожные жидкие, класс МГ, СГ</t>
  </si>
  <si>
    <t>408-0122</t>
  </si>
  <si>
    <t>ТСНБ-2001 Московская обл распоряжение № 51от 06.09.2011г. 408-0122</t>
  </si>
  <si>
    <t>Песок природный для строительных работ средний</t>
  </si>
  <si>
    <t>"СОГЛАСОВАНО"</t>
  </si>
  <si>
    <t>"УТВЕРЖДАЮ"</t>
  </si>
  <si>
    <t>"_____"________________200___ г.</t>
  </si>
  <si>
    <t>(Наименование стройки)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</si>
  <si>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</si>
  <si>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</si>
  <si>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</si>
  <si>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</si>
  <si>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</si>
  <si>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</si>
  <si>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</si>
  <si>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</si>
  <si>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</si>
  <si>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</si>
  <si>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</si>
  <si>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</si>
  <si>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</si>
  <si>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Август 2012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</si>
  <si>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</si>
  <si>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</si>
  <si>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</si>
  <si>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</si>
  <si>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</si>
  <si>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</si>
  <si>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</si>
  <si>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</si>
  <si>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</si>
  <si>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</si>
  <si>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</si>
  <si>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</si>
  <si>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</si>
  <si>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</si>
  <si>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</si>
  <si>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</si>
  <si>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</si>
  <si>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</si>
  <si>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</si>
  <si>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</si>
  <si>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</si>
  <si>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</si>
  <si>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</si>
  <si>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</si>
  <si>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</si>
  <si>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</si>
  <si>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</si>
  <si>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</si>
  <si>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</si>
  <si>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</si>
  <si>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</si>
  <si>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</si>
  <si>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</si>
  <si>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</si>
  <si>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</si>
  <si>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</si>
  <si>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</si>
  <si>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</si>
  <si>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</si>
  <si>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</si>
  <si>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</si>
  <si>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</si>
  <si>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</si>
  <si>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</si>
  <si>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</si>
  <si>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</si>
  <si>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</si>
  <si>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</si>
  <si>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</si>
  <si>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</si>
  <si>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</si>
  <si>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</si>
  <si>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</si>
  <si>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</si>
  <si>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 xml:space="preserve">Инвестор </t>
  </si>
  <si>
    <t>по ОКПО</t>
  </si>
  <si>
    <t xml:space="preserve">Заказчик </t>
  </si>
  <si>
    <t xml:space="preserve">Подрядчик </t>
  </si>
  <si>
    <t xml:space="preserve">Стройка </t>
  </si>
  <si>
    <t xml:space="preserve">Объект 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</si>
  <si>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</si>
  <si>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</si>
  <si>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</si>
  <si>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</si>
  <si>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</si>
  <si>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Дата составления</t>
  </si>
  <si>
    <t>Отчетный период</t>
  </si>
  <si>
    <t>с</t>
  </si>
  <si>
    <t>по</t>
  </si>
  <si>
    <t>AKT ВЫПОЛНЕННЫХ РАБОТ</t>
  </si>
  <si>
    <t xml:space="preserve">Составлен(а) в ценах 2001 г. с учетом коэффициентов пересчета к базисной стоимости СМР в текущий уровень цен базисно-индексным методом </t>
  </si>
  <si>
    <t>г.</t>
  </si>
  <si>
    <t>ПОДРЯДЧИК</t>
  </si>
  <si>
    <t>ЗАКАЗЧИК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</si>
  <si>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</si>
  <si>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</si>
  <si>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</si>
  <si>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</si>
  <si>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</si>
  <si>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</si>
  <si>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</si>
  <si>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</si>
  <si>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</si>
  <si>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Подписи членов комиссии:</t>
  </si>
  <si>
    <t>Устройство оснований толщиной 4 см под тротуары из  известнякового щебня</t>
  </si>
  <si>
    <t xml:space="preserve"> ремонт тротуара  от  пересечения тротуара ведущего   к  администрации до ул.Строителей д.2а  и  тротуара к д.2  по ул.1 мая</t>
  </si>
  <si>
    <t>ЛОКАЛЬНАЯ СМЕТА</t>
  </si>
  <si>
    <t>К пунктам 1.1, 2.1 проекта Решения Совета депутатов городского поселения Краснозаводск "О дополнительном согласовании работ по дальнейшему благоустройству застроенной территории городского поселения Краснозаводск"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</si>
</sst>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b/>
      <u val="single"/>
      <sz val="14"/>
      <name val="Times New Roman"/>
      <family val="1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wrapText="1"/>
    </xf>
    <xf numFmtId="0" fontId="0" fillId="0" borderId="0" xfId="0" applyAlignment="1">
      <alignment horizontal="center" vertical="top" shrinkToFi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72" fontId="16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5.7109375" style="0" customWidth="1"/>
    <col min="2" max="2" width="90.7109375" style="0" customWidth="1"/>
    <col min="3" max="4" width="18.7109375" style="0" customWidth="1"/>
    <col min="27" max="27" width="131.7109375" style="0" hidden="1" customWidth="1"/>
    <col min="28" max="28" width="0" style="0" hidden="1" customWidth="1"/>
  </cols>
  <sheetData>
    <row r="1" spans="1:4" ht="12.75">
      <c r="A1" s="76" t="str">
        <f>Source!B1</f>
        <v>Smeta.ru  (495) 974-1589</v>
      </c>
      <c r="B1" s="77"/>
      <c r="C1" s="77"/>
      <c r="D1" s="77"/>
    </row>
    <row r="3" spans="3:4" ht="18.75">
      <c r="C3" s="57" t="s">
        <v>170</v>
      </c>
      <c r="D3" s="57"/>
    </row>
    <row r="4" spans="3:4" ht="18.75">
      <c r="C4" s="57"/>
      <c r="D4" s="57" t="s">
        <v>261</v>
      </c>
    </row>
    <row r="5" spans="3:4" ht="18.75">
      <c r="C5" s="57"/>
      <c r="D5" s="57" t="s">
        <v>261</v>
      </c>
    </row>
    <row r="6" ht="15.75">
      <c r="C6" s="58" t="s">
        <v>262</v>
      </c>
    </row>
    <row r="10" ht="20.25">
      <c r="B10" s="59" t="s">
        <v>263</v>
      </c>
    </row>
    <row r="11" ht="18.75">
      <c r="B11" s="60" t="str">
        <f>CONCATENATE("На капитальный ремонт ",Source!F12)</f>
        <v>На капитальный ремонт Новый объект</v>
      </c>
    </row>
    <row r="14" ht="15.75">
      <c r="B14" s="61" t="s">
        <v>264</v>
      </c>
    </row>
    <row r="15" ht="15.75">
      <c r="B15" s="61" t="s">
        <v>265</v>
      </c>
    </row>
    <row r="16" ht="15.75">
      <c r="B16" s="61" t="s">
        <v>266</v>
      </c>
    </row>
    <row r="17" spans="1:4" ht="15">
      <c r="A17" s="18" t="s">
        <v>187</v>
      </c>
      <c r="B17" s="18" t="s">
        <v>193</v>
      </c>
      <c r="C17" s="18" t="s">
        <v>194</v>
      </c>
      <c r="D17" s="19" t="s">
        <v>268</v>
      </c>
    </row>
    <row r="18" spans="1:4" ht="15">
      <c r="A18" s="20" t="s">
        <v>188</v>
      </c>
      <c r="B18" s="20"/>
      <c r="C18" s="20" t="s">
        <v>267</v>
      </c>
      <c r="D18" s="22" t="s">
        <v>269</v>
      </c>
    </row>
    <row r="19" spans="1:4" ht="15">
      <c r="A19" s="18">
        <v>1</v>
      </c>
      <c r="B19" s="18">
        <v>2</v>
      </c>
      <c r="C19" s="18">
        <v>3</v>
      </c>
      <c r="D19" s="19">
        <v>4</v>
      </c>
    </row>
    <row r="20" spans="1:27" ht="15.75">
      <c r="A20" s="78" t="str">
        <f>CONCATENATE("Локальная смета     ",IF(Source!C12="1",Source!F20,Source!G20))</f>
        <v>Локальная смета     Новая локальная смета</v>
      </c>
      <c r="B20" s="79"/>
      <c r="C20" s="79"/>
      <c r="D20" s="80"/>
      <c r="AA20" s="62" t="str">
        <f>CONCATENATE("Локальная смета     ",IF(Source!C12="1",Source!F20,Source!G20))</f>
        <v>Локальная смета     Новая локальная смета</v>
      </c>
    </row>
    <row r="21" spans="1:5" ht="14.25">
      <c r="A21" s="64" t="str">
        <f>Source!E24</f>
        <v>1</v>
      </c>
      <c r="B21" s="66" t="str">
        <f>Source!G24</f>
        <v>Устройство оснований толщиной 4 см под тротуары из  известнякового щебня</v>
      </c>
      <c r="C21" s="68" t="str">
        <f>Source!H24</f>
        <v>100 м2</v>
      </c>
      <c r="D21" s="71">
        <f>Source!I24</f>
        <v>2.727</v>
      </c>
      <c r="E21" s="63"/>
    </row>
    <row r="22" spans="1:5" ht="28.5">
      <c r="A22" s="64" t="str">
        <f>Source!E25</f>
        <v>2</v>
      </c>
      <c r="B22" s="66" t="str">
        <f>Source!G25</f>
        <v>На каждый 1 см изменения толщины оснований добавлять или исключать к расценке 27-07-002-01</v>
      </c>
      <c r="C22" s="68" t="str">
        <f>Source!H25</f>
        <v>100 м2</v>
      </c>
      <c r="D22" s="71">
        <f>Source!I25</f>
        <v>2.727</v>
      </c>
      <c r="E22" s="63"/>
    </row>
    <row r="23" spans="1:5" ht="28.5">
      <c r="A23" s="64" t="str">
        <f>Source!E26</f>
        <v>3</v>
      </c>
      <c r="B23" s="66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C23" s="68" t="str">
        <f>Source!H26</f>
        <v>100 м2</v>
      </c>
      <c r="D23" s="71">
        <f>Source!I26</f>
        <v>4.546</v>
      </c>
      <c r="E23" s="63"/>
    </row>
    <row r="24" spans="1:5" ht="28.5">
      <c r="A24" s="64" t="str">
        <f>Source!E28</f>
        <v>4</v>
      </c>
      <c r="B24" s="66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C24" s="68" t="str">
        <f>Source!H28</f>
        <v>т</v>
      </c>
      <c r="D24" s="71">
        <f>Source!I28</f>
        <v>32.4584</v>
      </c>
      <c r="E24" s="63"/>
    </row>
    <row r="25" spans="1:5" ht="14.25">
      <c r="A25" s="64" t="str">
        <f>Source!E29</f>
        <v>5</v>
      </c>
      <c r="B25" s="66" t="str">
        <f>Source!G29</f>
        <v>На каждые 0,5 см изменения толщины покрытия добавлять к расценке 27-07-001-01</v>
      </c>
      <c r="C25" s="68" t="str">
        <f>Source!H29</f>
        <v>100 м2</v>
      </c>
      <c r="D25" s="71">
        <f>Source!I29</f>
        <v>4.546</v>
      </c>
      <c r="E25" s="63"/>
    </row>
    <row r="26" spans="1:5" ht="28.5">
      <c r="A26" s="65" t="str">
        <f>Source!E31</f>
        <v>6</v>
      </c>
      <c r="B26" s="67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C26" s="69" t="str">
        <f>Source!H31</f>
        <v>т</v>
      </c>
      <c r="D26" s="70">
        <f>Source!I31</f>
        <v>5.50066</v>
      </c>
      <c r="E26" s="63"/>
    </row>
    <row r="30" s="38" customFormat="1" ht="15.75">
      <c r="B30" s="38" t="s">
        <v>270</v>
      </c>
    </row>
  </sheetData>
  <sheetProtection/>
  <mergeCells count="2">
    <mergeCell ref="A1:D1"/>
    <mergeCell ref="A20:D20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2"/>
  <sheetViews>
    <sheetView zoomScale="116" zoomScaleNormal="116"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9.8515625" style="0" bestFit="1" customWidth="1"/>
    <col min="7" max="7" width="11.28125" style="0" customWidth="1"/>
    <col min="8" max="8" width="11.140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pans="1:12" ht="12.75">
      <c r="A1" s="105" t="str">
        <f>Source!B1</f>
        <v>Smeta.ru  (495) 974-1589</v>
      </c>
      <c r="B1" s="105"/>
      <c r="C1" s="105"/>
      <c r="D1" s="105"/>
      <c r="H1" s="106" t="s">
        <v>235</v>
      </c>
      <c r="I1" s="106"/>
      <c r="J1" s="106"/>
      <c r="K1" s="106"/>
      <c r="L1" s="106"/>
    </row>
    <row r="2" spans="8:12" ht="12.75">
      <c r="H2" s="106" t="s">
        <v>236</v>
      </c>
      <c r="I2" s="106"/>
      <c r="J2" s="106"/>
      <c r="K2" s="106"/>
      <c r="L2" s="106"/>
    </row>
    <row r="3" spans="8:12" ht="12.75">
      <c r="H3" s="106" t="s">
        <v>237</v>
      </c>
      <c r="I3" s="106"/>
      <c r="J3" s="106"/>
      <c r="K3" s="106"/>
      <c r="L3" s="106"/>
    </row>
    <row r="5" spans="11:12" s="13" customFormat="1" ht="15">
      <c r="K5" s="75" t="s">
        <v>238</v>
      </c>
      <c r="L5" s="99"/>
    </row>
    <row r="6" spans="10:12" s="13" customFormat="1" ht="15">
      <c r="J6" s="16" t="s">
        <v>239</v>
      </c>
      <c r="K6" s="102" t="s">
        <v>240</v>
      </c>
      <c r="L6" s="103"/>
    </row>
    <row r="7" spans="1:30" s="13" customFormat="1" ht="15">
      <c r="A7" s="100" t="s">
        <v>241</v>
      </c>
      <c r="B7" s="100"/>
      <c r="C7" s="104"/>
      <c r="D7" s="104"/>
      <c r="E7" s="104"/>
      <c r="F7" s="104"/>
      <c r="G7" s="104"/>
      <c r="H7" s="104"/>
      <c r="I7" s="104"/>
      <c r="J7" s="16" t="s">
        <v>242</v>
      </c>
      <c r="K7" s="75"/>
      <c r="L7" s="99"/>
      <c r="AD7" s="35"/>
    </row>
    <row r="8" spans="1:30" s="13" customFormat="1" ht="15">
      <c r="A8" s="100" t="s">
        <v>243</v>
      </c>
      <c r="B8" s="100"/>
      <c r="C8" s="101" t="str">
        <f>IF(Source!CG12&lt;&gt;"",Source!CG12," ")</f>
        <v> </v>
      </c>
      <c r="D8" s="101"/>
      <c r="E8" s="101"/>
      <c r="F8" s="101"/>
      <c r="G8" s="101"/>
      <c r="H8" s="101"/>
      <c r="I8" s="101"/>
      <c r="J8" s="16" t="s">
        <v>242</v>
      </c>
      <c r="K8" s="75"/>
      <c r="L8" s="99"/>
      <c r="AD8" s="49" t="str">
        <f>IF(Source!CG12&lt;&gt;"",Source!CG12," ")</f>
        <v> </v>
      </c>
    </row>
    <row r="9" spans="1:30" s="13" customFormat="1" ht="15">
      <c r="A9" s="100" t="s">
        <v>244</v>
      </c>
      <c r="B9" s="100"/>
      <c r="C9" s="101" t="str">
        <f>IF(Source!CH12&lt;&gt;"",Source!CH12," ")</f>
        <v> </v>
      </c>
      <c r="D9" s="101"/>
      <c r="E9" s="101"/>
      <c r="F9" s="101"/>
      <c r="G9" s="101"/>
      <c r="H9" s="101"/>
      <c r="I9" s="101"/>
      <c r="J9" s="16" t="s">
        <v>242</v>
      </c>
      <c r="K9" s="75"/>
      <c r="L9" s="99"/>
      <c r="AD9" s="49" t="str">
        <f>IF(Source!CH12&lt;&gt;"",Source!CH12," ")</f>
        <v> </v>
      </c>
    </row>
    <row r="10" spans="1:30" s="13" customFormat="1" ht="30">
      <c r="A10" s="100" t="s">
        <v>245</v>
      </c>
      <c r="B10" s="100"/>
      <c r="C10" s="101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 ремонт тротуара  от  пересечения тротуара ведущего   к  администрации до ул.Строителей д.2а  и  тротуара к д.2  по ул.1 мая</v>
      </c>
      <c r="D10" s="101"/>
      <c r="E10" s="101"/>
      <c r="F10" s="101"/>
      <c r="G10" s="101"/>
      <c r="H10" s="101"/>
      <c r="I10" s="101"/>
      <c r="K10" s="75"/>
      <c r="L10" s="99"/>
      <c r="AD10" s="49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 ремонт тротуара  от  пересечения тротуара ведущего   к  администрации до ул.Строителей д.2а  и  тротуара к д.2  по ул.1 мая</v>
      </c>
    </row>
    <row r="11" spans="1:30" s="13" customFormat="1" ht="15">
      <c r="A11" s="100" t="s">
        <v>246</v>
      </c>
      <c r="B11" s="100"/>
      <c r="C11" s="101" t="str">
        <f>IF(Source!F12&lt;&gt;"",Source!F12,IF(Source!E12&lt;&gt;"",Source!E12," "))</f>
        <v>Новый объект</v>
      </c>
      <c r="D11" s="101"/>
      <c r="E11" s="101"/>
      <c r="F11" s="101"/>
      <c r="G11" s="101"/>
      <c r="H11" s="101"/>
      <c r="I11" s="101"/>
      <c r="K11" s="75"/>
      <c r="L11" s="99"/>
      <c r="AD11" s="49" t="str">
        <f>IF(Source!F12&lt;&gt;"",Source!F12,IF(Source!E12&lt;&gt;"",Source!E12," "))</f>
        <v>Новый объект</v>
      </c>
    </row>
    <row r="12" spans="6:12" s="13" customFormat="1" ht="15">
      <c r="F12" s="74" t="s">
        <v>247</v>
      </c>
      <c r="G12" s="74"/>
      <c r="H12" s="74"/>
      <c r="I12" s="74"/>
      <c r="K12" s="75"/>
      <c r="L12" s="99"/>
    </row>
    <row r="13" spans="6:12" s="13" customFormat="1" ht="15">
      <c r="F13" s="100" t="s">
        <v>248</v>
      </c>
      <c r="G13" s="100"/>
      <c r="H13" s="100"/>
      <c r="I13" s="100"/>
      <c r="J13" s="18" t="s">
        <v>249</v>
      </c>
      <c r="K13" s="75"/>
      <c r="L13" s="99"/>
    </row>
    <row r="14" spans="10:12" s="13" customFormat="1" ht="15">
      <c r="J14" s="23" t="s">
        <v>250</v>
      </c>
      <c r="K14" s="92"/>
      <c r="L14" s="93"/>
    </row>
    <row r="15" spans="11:12" ht="12.75">
      <c r="K15" s="47"/>
      <c r="L15" s="47"/>
    </row>
    <row r="17" spans="6:12" ht="39" customHeight="1">
      <c r="F17" s="94" t="s">
        <v>251</v>
      </c>
      <c r="G17" s="95"/>
      <c r="H17" s="94" t="s">
        <v>252</v>
      </c>
      <c r="I17" s="72"/>
      <c r="K17" s="94" t="s">
        <v>253</v>
      </c>
      <c r="L17" s="72"/>
    </row>
    <row r="18" spans="6:12" ht="15">
      <c r="F18" s="96"/>
      <c r="G18" s="97"/>
      <c r="H18" s="96"/>
      <c r="I18" s="73"/>
      <c r="K18" s="52" t="s">
        <v>254</v>
      </c>
      <c r="L18" s="53" t="s">
        <v>255</v>
      </c>
    </row>
    <row r="19" spans="6:12" ht="15">
      <c r="F19" s="92"/>
      <c r="G19" s="98"/>
      <c r="H19" s="92"/>
      <c r="I19" s="93"/>
      <c r="J19" s="47"/>
      <c r="K19" s="50"/>
      <c r="L19" s="51"/>
    </row>
    <row r="22" spans="1:12" s="43" customFormat="1" ht="18">
      <c r="A22" s="86" t="s">
        <v>256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4" spans="1:12" s="5" customFormat="1" ht="11.25">
      <c r="A24" s="87" t="s">
        <v>257</v>
      </c>
      <c r="B24" s="87"/>
      <c r="C24" s="87"/>
      <c r="D24" s="87"/>
      <c r="E24" s="87"/>
      <c r="F24" s="87"/>
      <c r="G24" s="87"/>
      <c r="H24" s="87"/>
      <c r="I24" s="87"/>
      <c r="J24" s="54">
        <f>IF(AND(Source!P12&lt;&gt;0,Source!Q12&lt;&gt;0),DATE(Source!P12,Source!Q12,1),IF(Source!AF12=0,"",IF(Source!AN12=0,"",DATE(Source!AF12,Source!AN12,1))))</f>
        <v>41122</v>
      </c>
      <c r="K24" s="55">
        <f>IF(AND(Source!P12&lt;&gt;0,Source!Q12&lt;&gt;0),Source!P12,IF(Source!AF12=0,"",Source!AF12))</f>
        <v>2012</v>
      </c>
      <c r="L24" s="56" t="s">
        <v>258</v>
      </c>
    </row>
    <row r="25" spans="1:12" ht="15">
      <c r="A25" s="17"/>
      <c r="B25" s="17"/>
      <c r="C25" s="17"/>
      <c r="D25" s="17"/>
      <c r="E25" s="17"/>
      <c r="F25" s="18" t="s">
        <v>199</v>
      </c>
      <c r="G25" s="18" t="s">
        <v>203</v>
      </c>
      <c r="H25" s="18" t="s">
        <v>207</v>
      </c>
      <c r="I25" s="18" t="s">
        <v>211</v>
      </c>
      <c r="J25" s="18" t="s">
        <v>215</v>
      </c>
      <c r="K25" s="18" t="s">
        <v>207</v>
      </c>
      <c r="L25" s="19" t="s">
        <v>219</v>
      </c>
    </row>
    <row r="26" spans="1:12" ht="15">
      <c r="A26" s="20" t="s">
        <v>187</v>
      </c>
      <c r="B26" s="20" t="s">
        <v>189</v>
      </c>
      <c r="C26" s="21"/>
      <c r="D26" s="20" t="s">
        <v>194</v>
      </c>
      <c r="E26" s="20" t="s">
        <v>197</v>
      </c>
      <c r="F26" s="20" t="s">
        <v>200</v>
      </c>
      <c r="G26" s="20" t="s">
        <v>204</v>
      </c>
      <c r="H26" s="20" t="s">
        <v>208</v>
      </c>
      <c r="I26" s="20" t="s">
        <v>212</v>
      </c>
      <c r="J26" s="20" t="s">
        <v>206</v>
      </c>
      <c r="K26" s="20" t="s">
        <v>216</v>
      </c>
      <c r="L26" s="22" t="s">
        <v>220</v>
      </c>
    </row>
    <row r="27" spans="1:12" ht="15">
      <c r="A27" s="20" t="s">
        <v>188</v>
      </c>
      <c r="B27" s="20" t="s">
        <v>190</v>
      </c>
      <c r="C27" s="20" t="s">
        <v>193</v>
      </c>
      <c r="D27" s="20" t="s">
        <v>195</v>
      </c>
      <c r="E27" s="20" t="s">
        <v>198</v>
      </c>
      <c r="F27" s="20" t="s">
        <v>201</v>
      </c>
      <c r="G27" s="20" t="s">
        <v>205</v>
      </c>
      <c r="H27" s="20" t="s">
        <v>209</v>
      </c>
      <c r="I27" s="20" t="s">
        <v>213</v>
      </c>
      <c r="J27" s="20" t="s">
        <v>213</v>
      </c>
      <c r="K27" s="20" t="s">
        <v>217</v>
      </c>
      <c r="L27" s="22" t="s">
        <v>221</v>
      </c>
    </row>
    <row r="28" spans="1:12" ht="15">
      <c r="A28" s="21"/>
      <c r="B28" s="20" t="s">
        <v>191</v>
      </c>
      <c r="C28" s="21"/>
      <c r="D28" s="20" t="s">
        <v>196</v>
      </c>
      <c r="E28" s="21"/>
      <c r="F28" s="20" t="s">
        <v>202</v>
      </c>
      <c r="G28" s="20" t="s">
        <v>206</v>
      </c>
      <c r="H28" s="20" t="s">
        <v>210</v>
      </c>
      <c r="I28" s="20" t="s">
        <v>214</v>
      </c>
      <c r="J28" s="20" t="s">
        <v>214</v>
      </c>
      <c r="K28" s="20" t="s">
        <v>218</v>
      </c>
      <c r="L28" s="22"/>
    </row>
    <row r="29" spans="1:12" ht="15">
      <c r="A29" s="21"/>
      <c r="B29" s="20" t="s">
        <v>192</v>
      </c>
      <c r="C29" s="21"/>
      <c r="D29" s="21"/>
      <c r="E29" s="21"/>
      <c r="F29" s="21"/>
      <c r="G29" s="20"/>
      <c r="H29" s="20"/>
      <c r="I29" s="20"/>
      <c r="J29" s="20"/>
      <c r="K29" s="20"/>
      <c r="L29" s="22"/>
    </row>
    <row r="30" spans="1:12" ht="15">
      <c r="A30" s="23">
        <v>1</v>
      </c>
      <c r="B30" s="23">
        <v>2</v>
      </c>
      <c r="C30" s="23">
        <v>3</v>
      </c>
      <c r="D30" s="23">
        <v>4</v>
      </c>
      <c r="E30" s="23">
        <v>5</v>
      </c>
      <c r="F30" s="23">
        <v>6</v>
      </c>
      <c r="G30" s="23">
        <v>7</v>
      </c>
      <c r="H30" s="23">
        <v>8</v>
      </c>
      <c r="I30" s="23">
        <v>9</v>
      </c>
      <c r="J30" s="23">
        <v>10</v>
      </c>
      <c r="K30" s="23">
        <v>11</v>
      </c>
      <c r="L30" s="24">
        <v>12</v>
      </c>
    </row>
    <row r="31" spans="3:30" ht="18">
      <c r="C31" s="25" t="s">
        <v>222</v>
      </c>
      <c r="D31" s="88" t="str">
        <f>IF(Source!C12="1",Source!F20,Source!G20)</f>
        <v>Новая локальная смета</v>
      </c>
      <c r="E31" s="89"/>
      <c r="F31" s="89"/>
      <c r="G31" s="89"/>
      <c r="H31" s="89"/>
      <c r="I31" s="89"/>
      <c r="J31" s="89"/>
      <c r="K31" s="89"/>
      <c r="L31" s="89"/>
      <c r="AD31" s="26" t="str">
        <f>IF(Source!C12="1",Source!F20,Source!G20)</f>
        <v>Новая локальная смета</v>
      </c>
    </row>
    <row r="33" spans="1:12" ht="45">
      <c r="A33" s="27" t="str">
        <f>Source!E24</f>
        <v>1</v>
      </c>
      <c r="B33" s="27" t="str">
        <f>Source!F24</f>
        <v>27-07-002-1</v>
      </c>
      <c r="C33" s="28" t="str">
        <f>Source!G24</f>
        <v>Устройство оснований толщиной 4 см под тротуары из  известнякового щебня</v>
      </c>
      <c r="D33" s="29" t="str">
        <f>Source!H24</f>
        <v>100 м2</v>
      </c>
      <c r="E33" s="13">
        <f>ROUND(Source!I24,6)</f>
        <v>2.727</v>
      </c>
      <c r="F33" s="15">
        <f>IF(Source!AK24&lt;&gt;0,Source!AK24,Source!AL24+Source!AM24+Source!AO24)</f>
        <v>3049.0600000000004</v>
      </c>
      <c r="G33" s="13"/>
      <c r="H33" s="13"/>
      <c r="I33" s="30" t="str">
        <f>IF(Source!BO24&lt;&gt;"",Source!BO24,"")</f>
        <v>27-07-002-1</v>
      </c>
      <c r="J33" s="13"/>
      <c r="K33" s="13"/>
      <c r="L33" s="13"/>
    </row>
    <row r="34" spans="1:12" ht="15">
      <c r="A34" s="13"/>
      <c r="B34" s="13"/>
      <c r="C34" s="13" t="s">
        <v>223</v>
      </c>
      <c r="D34" s="13"/>
      <c r="E34" s="13"/>
      <c r="F34" s="15">
        <f>Source!AO24</f>
        <v>221.99</v>
      </c>
      <c r="G34" s="30">
        <f>Source!DG24</f>
      </c>
      <c r="H34" s="15">
        <f>ROUND((Source!CT24/IF(Source!BA24&lt;&gt;0,Source!BA24,1)*Source!I24),2)</f>
        <v>605.37</v>
      </c>
      <c r="I34" s="13"/>
      <c r="J34" s="13">
        <f>Source!BA24</f>
        <v>17.84</v>
      </c>
      <c r="K34" s="15">
        <f>Source!S24</f>
        <v>10799.74</v>
      </c>
      <c r="L34" s="13"/>
    </row>
    <row r="35" spans="1:12" ht="15">
      <c r="A35" s="13"/>
      <c r="B35" s="13"/>
      <c r="C35" s="13" t="s">
        <v>63</v>
      </c>
      <c r="D35" s="13"/>
      <c r="E35" s="13"/>
      <c r="F35" s="15">
        <f>Source!AM24</f>
        <v>285.27</v>
      </c>
      <c r="G35" s="30">
        <f>Source!DE24</f>
      </c>
      <c r="H35" s="15">
        <f>ROUND((Source!CR24/IF(Source!BB24&lt;&gt;0,Source!BB24,1)*Source!I24),2)</f>
        <v>777.93</v>
      </c>
      <c r="I35" s="13"/>
      <c r="J35" s="13">
        <f>Source!BB24</f>
        <v>5.9</v>
      </c>
      <c r="K35" s="15">
        <f>Source!Q24</f>
        <v>4589.79</v>
      </c>
      <c r="L35" s="13"/>
    </row>
    <row r="36" spans="1:12" ht="15">
      <c r="A36" s="13"/>
      <c r="B36" s="13"/>
      <c r="C36" s="13" t="s">
        <v>224</v>
      </c>
      <c r="D36" s="13"/>
      <c r="E36" s="13"/>
      <c r="F36" s="15">
        <f>Source!AN24</f>
        <v>35</v>
      </c>
      <c r="G36" s="30">
        <f>Source!DF24</f>
      </c>
      <c r="H36" s="32">
        <f>ROUND((Source!CS24/IF(Source!BS24&lt;&gt;0,Source!BS24,1)*Source!I24),2)</f>
        <v>95.45</v>
      </c>
      <c r="I36" s="13"/>
      <c r="J36" s="13">
        <f>Source!BS24</f>
        <v>17.84</v>
      </c>
      <c r="K36" s="32">
        <f>Source!R24</f>
        <v>1702.74</v>
      </c>
      <c r="L36" s="13"/>
    </row>
    <row r="37" spans="1:12" ht="15">
      <c r="A37" s="13"/>
      <c r="B37" s="13"/>
      <c r="C37" s="13" t="s">
        <v>225</v>
      </c>
      <c r="D37" s="13"/>
      <c r="E37" s="13"/>
      <c r="F37" s="15">
        <f>Source!AL24</f>
        <v>2541.8</v>
      </c>
      <c r="G37" s="30">
        <f>Source!DD24</f>
      </c>
      <c r="H37" s="15">
        <f>ROUND((Source!CQ24/IF(Source!BC24&lt;&gt;0,Source!BC24,1)*Source!I24),2)</f>
        <v>6931.49</v>
      </c>
      <c r="I37" s="13"/>
      <c r="J37" s="13">
        <f>Source!BC24</f>
        <v>8.25</v>
      </c>
      <c r="K37" s="15">
        <f>Source!P24</f>
        <v>57184.78</v>
      </c>
      <c r="L37" s="13"/>
    </row>
    <row r="38" spans="1:24" ht="15">
      <c r="A38" s="13"/>
      <c r="B38" s="13"/>
      <c r="C38" s="13" t="s">
        <v>226</v>
      </c>
      <c r="D38" s="16" t="s">
        <v>227</v>
      </c>
      <c r="E38" s="13"/>
      <c r="F38" s="15">
        <f>Source!BZ24</f>
        <v>142</v>
      </c>
      <c r="G38" s="13"/>
      <c r="H38" s="15">
        <f>X38</f>
        <v>995.16</v>
      </c>
      <c r="I38" s="13" t="str">
        <f>Source!FV24</f>
        <v>((*0.85))</v>
      </c>
      <c r="J38" s="15">
        <f>Source!AT24</f>
        <v>121</v>
      </c>
      <c r="K38" s="15">
        <f>Source!X24</f>
        <v>15128</v>
      </c>
      <c r="L38" s="13"/>
      <c r="X38">
        <f>ROUND((Source!FX24/100)*(ROUND((Source!CT24/IF(Source!BA24&lt;&gt;0,Source!BA24,1)*Source!I24),2)+ROUND((Source!CS24/IF(Source!BS24&lt;&gt;0,Source!BS24,1)*Source!I24),2)),2)</f>
        <v>995.16</v>
      </c>
    </row>
    <row r="39" spans="1:25" ht="15">
      <c r="A39" s="13"/>
      <c r="B39" s="13"/>
      <c r="C39" s="13" t="s">
        <v>79</v>
      </c>
      <c r="D39" s="16" t="s">
        <v>227</v>
      </c>
      <c r="E39" s="13"/>
      <c r="F39" s="15">
        <f>Source!CA24</f>
        <v>95</v>
      </c>
      <c r="G39" s="13" t="str">
        <f>Source!FU24</f>
        <v>*0.85</v>
      </c>
      <c r="H39" s="15">
        <f>Y39</f>
        <v>565.91</v>
      </c>
      <c r="I39" s="13" t="str">
        <f>Source!FW24</f>
        <v>((*0.8))</v>
      </c>
      <c r="J39" s="15">
        <f>Source!AU24</f>
        <v>65</v>
      </c>
      <c r="K39" s="15">
        <f>Source!Y24</f>
        <v>8126.61</v>
      </c>
      <c r="L39" s="13"/>
      <c r="Y39">
        <f>ROUND((Source!FY24/100)*(ROUND((Source!CT24/IF(Source!BA24&lt;&gt;0,Source!BA24,1)*Source!I24),2)+ROUND((Source!CS24/IF(Source!BS24&lt;&gt;0,Source!BS24,1)*Source!I24),2)),2)</f>
        <v>565.91</v>
      </c>
    </row>
    <row r="40" spans="1:12" ht="15">
      <c r="A40" s="33"/>
      <c r="B40" s="33"/>
      <c r="C40" s="33" t="s">
        <v>228</v>
      </c>
      <c r="D40" s="34" t="s">
        <v>229</v>
      </c>
      <c r="E40" s="33">
        <f>Source!AQ24</f>
        <v>26.24</v>
      </c>
      <c r="F40" s="33"/>
      <c r="G40" s="35">
        <f>Source!DI24</f>
      </c>
      <c r="H40" s="33"/>
      <c r="I40" s="33"/>
      <c r="J40" s="33"/>
      <c r="K40" s="33"/>
      <c r="L40" s="36">
        <f>Source!U24</f>
        <v>71.55648</v>
      </c>
    </row>
    <row r="41" spans="1:23" ht="15.75">
      <c r="A41" s="13"/>
      <c r="B41" s="13"/>
      <c r="C41" s="13"/>
      <c r="D41" s="13"/>
      <c r="E41" s="13"/>
      <c r="F41" s="13"/>
      <c r="G41" s="13"/>
      <c r="H41" s="37">
        <f>ROUND((Source!CT24/IF(Source!BA24&lt;&gt;0,Source!BA24,1)*Source!I24),2)+ROUND((Source!CR24/IF(Source!BB24&lt;&gt;0,Source!BB24,1)*Source!I24),2)+H37+H38+H39</f>
        <v>9875.859999999999</v>
      </c>
      <c r="I41" s="38"/>
      <c r="J41" s="38"/>
      <c r="K41" s="37">
        <f>Source!S24+Source!Q24+K37+K38+K39</f>
        <v>95828.92</v>
      </c>
      <c r="L41" s="37">
        <f>Source!U24</f>
        <v>71.55648</v>
      </c>
      <c r="M41" s="31">
        <f>H41</f>
        <v>9875.859999999999</v>
      </c>
      <c r="N41">
        <f>ROUND((Source!CT24/IF(Source!BA24&lt;&gt;0,Source!BA24,1)*Source!I24),2)</f>
        <v>605.37</v>
      </c>
      <c r="O41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9875.844748575</v>
      </c>
      <c r="P41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1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1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1">
        <f>IF(Source!BI24=1,Source!O24+Source!X24+Source!Y24,0)</f>
        <v>95828.92</v>
      </c>
      <c r="T41">
        <f>IF(Source!BI24=2,Source!O24+Source!X24+Source!Y24,0)</f>
        <v>0</v>
      </c>
      <c r="U41">
        <f>IF(Source!BI24=3,Source!O24+Source!X24+Source!Y24,0)</f>
        <v>0</v>
      </c>
      <c r="V41">
        <f>IF(Source!BI24=4,Source!O24+Source!X24+Source!Y24,0)</f>
        <v>0</v>
      </c>
      <c r="W41">
        <f>ROUND((Source!CS24/IF(Source!BS24&lt;&gt;0,Source!BS24,1)*Source!I24),2)</f>
        <v>95.45</v>
      </c>
    </row>
    <row r="42" spans="1:12" ht="60">
      <c r="A42" s="27" t="str">
        <f>Source!E25</f>
        <v>2</v>
      </c>
      <c r="B42" s="27" t="str">
        <f>Source!F25</f>
        <v>27-07-002-2</v>
      </c>
      <c r="C42" s="28" t="str">
        <f>Source!G25</f>
        <v>На каждый 1 см изменения толщины оснований добавлять или исключать к расценке 27-07-002-01</v>
      </c>
      <c r="D42" s="29" t="str">
        <f>Source!H25</f>
        <v>100 м2</v>
      </c>
      <c r="E42" s="13">
        <f>ROUND(Source!I25,6)</f>
        <v>2.727</v>
      </c>
      <c r="F42" s="15">
        <f>IF(Source!AK25&lt;&gt;0,Source!AK25,Source!AL25+Source!AM25+Source!AO25)</f>
        <v>233.26</v>
      </c>
      <c r="G42" s="13"/>
      <c r="H42" s="13"/>
      <c r="I42" s="30" t="str">
        <f>IF(Source!BO25&lt;&gt;"",Source!BO25,"")</f>
        <v>27-07-002-2</v>
      </c>
      <c r="J42" s="13"/>
      <c r="K42" s="13"/>
      <c r="L42" s="13"/>
    </row>
    <row r="43" spans="1:12" ht="15">
      <c r="A43" s="13"/>
      <c r="B43" s="13"/>
      <c r="C43" s="13" t="s">
        <v>223</v>
      </c>
      <c r="D43" s="13"/>
      <c r="E43" s="13"/>
      <c r="F43" s="15">
        <f>Source!AO25</f>
        <v>4.57</v>
      </c>
      <c r="G43" s="30" t="str">
        <f>Source!DG25</f>
        <v>*-2</v>
      </c>
      <c r="H43" s="15">
        <f>ROUND((Source!CT25/IF(Source!BA25&lt;&gt;0,Source!BA25,1)*Source!I25),2)</f>
        <v>-24.92</v>
      </c>
      <c r="I43" s="13"/>
      <c r="J43" s="13">
        <f>Source!BA25</f>
        <v>17.84</v>
      </c>
      <c r="K43" s="15">
        <f>Source!S25</f>
        <v>-444.66</v>
      </c>
      <c r="L43" s="13"/>
    </row>
    <row r="44" spans="1:12" ht="15">
      <c r="A44" s="13"/>
      <c r="B44" s="13"/>
      <c r="C44" s="13" t="s">
        <v>63</v>
      </c>
      <c r="D44" s="13"/>
      <c r="E44" s="13"/>
      <c r="F44" s="15">
        <f>Source!AM25</f>
        <v>9.99</v>
      </c>
      <c r="G44" s="30" t="str">
        <f>Source!DE25</f>
        <v>*-2</v>
      </c>
      <c r="H44" s="15">
        <f>ROUND((Source!CR25/IF(Source!BB25&lt;&gt;0,Source!BB25,1)*Source!I25),2)</f>
        <v>-54.49</v>
      </c>
      <c r="I44" s="13"/>
      <c r="J44" s="13">
        <f>Source!BB25</f>
        <v>5.68</v>
      </c>
      <c r="K44" s="15">
        <f>Source!Q25</f>
        <v>-309.48</v>
      </c>
      <c r="L44" s="13"/>
    </row>
    <row r="45" spans="1:12" ht="15">
      <c r="A45" s="13"/>
      <c r="B45" s="13"/>
      <c r="C45" s="13" t="s">
        <v>224</v>
      </c>
      <c r="D45" s="13"/>
      <c r="E45" s="13"/>
      <c r="F45" s="15">
        <f>Source!AN25</f>
        <v>1.01</v>
      </c>
      <c r="G45" s="30" t="str">
        <f>Source!DF25</f>
        <v>*-2</v>
      </c>
      <c r="H45" s="32">
        <f>ROUND((Source!CS25/IF(Source!BS25&lt;&gt;0,Source!BS25,1)*Source!I25),2)</f>
        <v>-5.51</v>
      </c>
      <c r="I45" s="13"/>
      <c r="J45" s="13">
        <f>Source!BS25</f>
        <v>17.84</v>
      </c>
      <c r="K45" s="32">
        <f>Source!R25</f>
        <v>-98.27</v>
      </c>
      <c r="L45" s="13"/>
    </row>
    <row r="46" spans="1:12" ht="15">
      <c r="A46" s="13"/>
      <c r="B46" s="13"/>
      <c r="C46" s="13" t="s">
        <v>225</v>
      </c>
      <c r="D46" s="13"/>
      <c r="E46" s="13"/>
      <c r="F46" s="15">
        <f>Source!AL25</f>
        <v>218.7</v>
      </c>
      <c r="G46" s="30" t="str">
        <f>Source!DD25</f>
        <v>*-2</v>
      </c>
      <c r="H46" s="15">
        <f>ROUND((Source!CQ25/IF(Source!BC25&lt;&gt;0,Source!BC25,1)*Source!I25),2)</f>
        <v>-1192.79</v>
      </c>
      <c r="I46" s="13"/>
      <c r="J46" s="13">
        <f>Source!BC25</f>
        <v>8.25</v>
      </c>
      <c r="K46" s="15">
        <f>Source!P25</f>
        <v>-9840.52</v>
      </c>
      <c r="L46" s="13"/>
    </row>
    <row r="47" spans="1:24" ht="15">
      <c r="A47" s="13"/>
      <c r="B47" s="13"/>
      <c r="C47" s="13" t="s">
        <v>226</v>
      </c>
      <c r="D47" s="16" t="s">
        <v>227</v>
      </c>
      <c r="E47" s="13"/>
      <c r="F47" s="15">
        <f>Source!BZ25</f>
        <v>142</v>
      </c>
      <c r="G47" s="13"/>
      <c r="H47" s="15">
        <f>X47</f>
        <v>-43.21</v>
      </c>
      <c r="I47" s="13" t="str">
        <f>Source!FV25</f>
        <v>((*0.85))</v>
      </c>
      <c r="J47" s="15">
        <f>Source!AT25</f>
        <v>121</v>
      </c>
      <c r="K47" s="15">
        <f>Source!X25</f>
        <v>-656.95</v>
      </c>
      <c r="L47" s="13"/>
      <c r="X47">
        <f>ROUND((Source!FX25/100)*(ROUND((Source!CT25/IF(Source!BA25&lt;&gt;0,Source!BA25,1)*Source!I25),2)+ROUND((Source!CS25/IF(Source!BS25&lt;&gt;0,Source!BS25,1)*Source!I25),2)),2)</f>
        <v>-43.21</v>
      </c>
    </row>
    <row r="48" spans="1:25" ht="15">
      <c r="A48" s="13"/>
      <c r="B48" s="13"/>
      <c r="C48" s="13" t="s">
        <v>79</v>
      </c>
      <c r="D48" s="16" t="s">
        <v>227</v>
      </c>
      <c r="E48" s="13"/>
      <c r="F48" s="15">
        <f>Source!CA25</f>
        <v>95</v>
      </c>
      <c r="G48" s="13" t="str">
        <f>Source!FU25</f>
        <v>*0.85</v>
      </c>
      <c r="H48" s="15">
        <f>Y48</f>
        <v>-24.57</v>
      </c>
      <c r="I48" s="13" t="str">
        <f>Source!FW25</f>
        <v>((*0.8))</v>
      </c>
      <c r="J48" s="15">
        <f>Source!AU25</f>
        <v>65</v>
      </c>
      <c r="K48" s="15">
        <f>Source!Y25</f>
        <v>-352.9</v>
      </c>
      <c r="L48" s="13"/>
      <c r="Y48">
        <f>ROUND((Source!FY25/100)*(ROUND((Source!CT25/IF(Source!BA25&lt;&gt;0,Source!BA25,1)*Source!I25),2)+ROUND((Source!CS25/IF(Source!BS25&lt;&gt;0,Source!BS25,1)*Source!I25),2)),2)</f>
        <v>-24.57</v>
      </c>
    </row>
    <row r="49" spans="1:12" ht="15">
      <c r="A49" s="33"/>
      <c r="B49" s="33"/>
      <c r="C49" s="33" t="s">
        <v>228</v>
      </c>
      <c r="D49" s="34" t="s">
        <v>229</v>
      </c>
      <c r="E49" s="33">
        <f>Source!AQ25</f>
        <v>0.54</v>
      </c>
      <c r="F49" s="33"/>
      <c r="G49" s="35" t="str">
        <f>Source!DI25</f>
        <v>*-2</v>
      </c>
      <c r="H49" s="33"/>
      <c r="I49" s="33"/>
      <c r="J49" s="33"/>
      <c r="K49" s="33"/>
      <c r="L49" s="36">
        <f>Source!U25</f>
        <v>-2.94516</v>
      </c>
    </row>
    <row r="50" spans="1:23" ht="15.75">
      <c r="A50" s="13"/>
      <c r="B50" s="13"/>
      <c r="C50" s="13"/>
      <c r="D50" s="13"/>
      <c r="E50" s="13"/>
      <c r="F50" s="13"/>
      <c r="G50" s="13"/>
      <c r="H50" s="37">
        <f>ROUND((Source!CT25/IF(Source!BA25&lt;&gt;0,Source!BA25,1)*Source!I25),2)+ROUND((Source!CR25/IF(Source!BB25&lt;&gt;0,Source!BB25,1)*Source!I25),2)+H46+H47+H48</f>
        <v>-1339.98</v>
      </c>
      <c r="I50" s="38"/>
      <c r="J50" s="38"/>
      <c r="K50" s="37">
        <f>Source!S25+Source!Q25+K46+K47+K48</f>
        <v>-11604.51</v>
      </c>
      <c r="L50" s="37">
        <f>Source!U25</f>
        <v>-2.94516</v>
      </c>
      <c r="M50" s="31">
        <f>H50</f>
        <v>-1339.98</v>
      </c>
      <c r="N50">
        <f>ROUND((Source!CT25/IF(Source!BA25&lt;&gt;0,Source!BA25,1)*Source!I25),2)</f>
        <v>-24.92</v>
      </c>
      <c r="O50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-1339.9902602999996</v>
      </c>
      <c r="P50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50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50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50">
        <f>IF(Source!BI25=1,Source!O25+Source!X25+Source!Y25,0)</f>
        <v>-11604.51</v>
      </c>
      <c r="T50">
        <f>IF(Source!BI25=2,Source!O25+Source!X25+Source!Y25,0)</f>
        <v>0</v>
      </c>
      <c r="U50">
        <f>IF(Source!BI25=3,Source!O25+Source!X25+Source!Y25,0)</f>
        <v>0</v>
      </c>
      <c r="V50">
        <f>IF(Source!BI25=4,Source!O25+Source!X25+Source!Y25,0)</f>
        <v>0</v>
      </c>
      <c r="W50">
        <f>ROUND((Source!CS25/IF(Source!BS25&lt;&gt;0,Source!BS25,1)*Source!I25),2)</f>
        <v>-5.51</v>
      </c>
    </row>
    <row r="51" spans="1:12" ht="90">
      <c r="A51" s="27" t="str">
        <f>Source!E26</f>
        <v>3</v>
      </c>
      <c r="B51" s="27" t="str">
        <f>Source!F26</f>
        <v>27-07-001-1</v>
      </c>
      <c r="C51" s="28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51" s="29" t="str">
        <f>Source!H26</f>
        <v>100 м2</v>
      </c>
      <c r="E51" s="13">
        <f>ROUND(Source!I26,6)</f>
        <v>4.546</v>
      </c>
      <c r="F51" s="15">
        <f>IF(Source!AK26&lt;&gt;0,Source!AK26,Source!AL26+Source!AM26+Source!AO26)</f>
        <v>3566.81</v>
      </c>
      <c r="G51" s="13"/>
      <c r="H51" s="13"/>
      <c r="I51" s="30" t="str">
        <f>IF(Source!BO26&lt;&gt;"",Source!BO26,"")</f>
        <v>27-07-001-1</v>
      </c>
      <c r="J51" s="13"/>
      <c r="K51" s="13"/>
      <c r="L51" s="13"/>
    </row>
    <row r="52" spans="1:12" ht="15">
      <c r="A52" s="13"/>
      <c r="B52" s="13"/>
      <c r="C52" s="13" t="s">
        <v>223</v>
      </c>
      <c r="D52" s="13"/>
      <c r="E52" s="13"/>
      <c r="F52" s="15">
        <f>Source!AO26</f>
        <v>140.46</v>
      </c>
      <c r="G52" s="30">
        <f>Source!DG26</f>
      </c>
      <c r="H52" s="15">
        <f>ROUND((Source!CT26/IF(Source!BA26&lt;&gt;0,Source!BA26,1)*Source!I26),2)</f>
        <v>638.53</v>
      </c>
      <c r="I52" s="13"/>
      <c r="J52" s="13">
        <f>Source!BA26</f>
        <v>17.84</v>
      </c>
      <c r="K52" s="15">
        <f>Source!S26</f>
        <v>11391.4</v>
      </c>
      <c r="L52" s="13"/>
    </row>
    <row r="53" spans="1:12" ht="15">
      <c r="A53" s="13"/>
      <c r="B53" s="13"/>
      <c r="C53" s="13" t="s">
        <v>63</v>
      </c>
      <c r="D53" s="13"/>
      <c r="E53" s="13"/>
      <c r="F53" s="15">
        <f>Source!AM26</f>
        <v>57.98</v>
      </c>
      <c r="G53" s="30">
        <f>Source!DE26</f>
      </c>
      <c r="H53" s="15">
        <f>ROUND((Source!CR26/IF(Source!BB26&lt;&gt;0,Source!BB26,1)*Source!I26),2)</f>
        <v>263.58</v>
      </c>
      <c r="I53" s="13"/>
      <c r="J53" s="13">
        <f>Source!BB26</f>
        <v>5.25</v>
      </c>
      <c r="K53" s="15">
        <f>Source!Q26</f>
        <v>1383.78</v>
      </c>
      <c r="L53" s="13"/>
    </row>
    <row r="54" spans="1:12" ht="15">
      <c r="A54" s="13"/>
      <c r="B54" s="13"/>
      <c r="C54" s="13" t="s">
        <v>224</v>
      </c>
      <c r="D54" s="13"/>
      <c r="E54" s="13"/>
      <c r="F54" s="15">
        <f>Source!AN26</f>
        <v>0.57</v>
      </c>
      <c r="G54" s="30">
        <f>Source!DF26</f>
      </c>
      <c r="H54" s="32">
        <f>ROUND((Source!CS26/IF(Source!BS26&lt;&gt;0,Source!BS26,1)*Source!I26),2)</f>
        <v>2.59</v>
      </c>
      <c r="I54" s="13"/>
      <c r="J54" s="13">
        <f>Source!BS26</f>
        <v>17.84</v>
      </c>
      <c r="K54" s="32">
        <f>Source!R26</f>
        <v>46.23</v>
      </c>
      <c r="L54" s="13"/>
    </row>
    <row r="55" spans="1:12" ht="15">
      <c r="A55" s="13"/>
      <c r="B55" s="13"/>
      <c r="C55" s="13" t="s">
        <v>225</v>
      </c>
      <c r="D55" s="13"/>
      <c r="E55" s="13"/>
      <c r="F55" s="15">
        <f>Source!AL26</f>
        <v>3368.37</v>
      </c>
      <c r="G55" s="30">
        <f>Source!DD26</f>
      </c>
      <c r="H55" s="15">
        <f>ROUND((Source!CQ26/IF(Source!BC26&lt;&gt;0,Source!BC26,1)*Source!I26),2)</f>
        <v>15312.61</v>
      </c>
      <c r="I55" s="13"/>
      <c r="J55" s="13">
        <f>Source!BC26</f>
        <v>7.59</v>
      </c>
      <c r="K55" s="15">
        <f>Source!P26</f>
        <v>116222.71</v>
      </c>
      <c r="L55" s="13"/>
    </row>
    <row r="56" spans="1:24" ht="15">
      <c r="A56" s="13"/>
      <c r="B56" s="13"/>
      <c r="C56" s="13" t="s">
        <v>226</v>
      </c>
      <c r="D56" s="16" t="s">
        <v>227</v>
      </c>
      <c r="E56" s="13"/>
      <c r="F56" s="15">
        <f>Source!BZ26</f>
        <v>142</v>
      </c>
      <c r="G56" s="13"/>
      <c r="H56" s="15">
        <f>X56+X59</f>
        <v>910.39</v>
      </c>
      <c r="I56" s="13" t="str">
        <f>Source!FV26</f>
        <v>((*0.85))</v>
      </c>
      <c r="J56" s="15">
        <f>Source!AT26</f>
        <v>121</v>
      </c>
      <c r="K56" s="15">
        <f>Source!X26+Source!X27</f>
        <v>13839.53</v>
      </c>
      <c r="L56" s="13"/>
      <c r="X56">
        <f>ROUND((Source!FX26/100)*(ROUND((Source!CT26/IF(Source!BA26&lt;&gt;0,Source!BA26,1)*Source!I26),2)+ROUND((Source!CS26/IF(Source!BS26&lt;&gt;0,Source!BS26,1)*Source!I26),2)),2)</f>
        <v>910.39</v>
      </c>
    </row>
    <row r="57" spans="1:25" ht="15">
      <c r="A57" s="13"/>
      <c r="B57" s="13"/>
      <c r="C57" s="13" t="s">
        <v>79</v>
      </c>
      <c r="D57" s="16" t="s">
        <v>227</v>
      </c>
      <c r="E57" s="13"/>
      <c r="F57" s="15">
        <f>Source!CA26</f>
        <v>95</v>
      </c>
      <c r="G57" s="13" t="str">
        <f>Source!FU26</f>
        <v>*0.85</v>
      </c>
      <c r="H57" s="15">
        <f>Y57+Y59</f>
        <v>517.7</v>
      </c>
      <c r="I57" s="13" t="str">
        <f>Source!FW26</f>
        <v>((*0.8))</v>
      </c>
      <c r="J57" s="15">
        <f>Source!AU26</f>
        <v>65</v>
      </c>
      <c r="K57" s="15">
        <f>Source!Y26+Source!Y27</f>
        <v>7434.46</v>
      </c>
      <c r="L57" s="13"/>
      <c r="Y57">
        <f>ROUND((Source!FY26/100)*(ROUND((Source!CT26/IF(Source!BA26&lt;&gt;0,Source!BA26,1)*Source!I26),2)+ROUND((Source!CS26/IF(Source!BS26&lt;&gt;0,Source!BS26,1)*Source!I26),2)),2)</f>
        <v>517.7</v>
      </c>
    </row>
    <row r="58" spans="1:12" ht="15">
      <c r="A58" s="13"/>
      <c r="B58" s="13"/>
      <c r="C58" s="13" t="s">
        <v>228</v>
      </c>
      <c r="D58" s="16" t="s">
        <v>229</v>
      </c>
      <c r="E58" s="13">
        <f>Source!AQ26</f>
        <v>15.12</v>
      </c>
      <c r="F58" s="13"/>
      <c r="G58" s="30">
        <f>Source!DI26</f>
      </c>
      <c r="H58" s="13"/>
      <c r="I58" s="13"/>
      <c r="J58" s="13"/>
      <c r="K58" s="13"/>
      <c r="L58" s="15">
        <f>Source!U26</f>
        <v>68.73552</v>
      </c>
    </row>
    <row r="59" spans="1:25" ht="30">
      <c r="A59" s="39"/>
      <c r="B59" s="39" t="str">
        <f>Source!F27</f>
        <v>410-0054</v>
      </c>
      <c r="C59" s="40" t="str">
        <f>Source!G27</f>
        <v>Асфальт литой для покрытий тротуаров тип II (жесткий)</v>
      </c>
      <c r="D59" s="41" t="str">
        <f>Source!H27</f>
        <v>т</v>
      </c>
      <c r="E59" s="33">
        <f>ROUND(Source!I27,6)</f>
        <v>-32.45844</v>
      </c>
      <c r="F59" s="36">
        <f>IF(Source!AL27=0,Source!AK27,Source!AL27)</f>
        <v>455.39</v>
      </c>
      <c r="G59" s="35">
        <f>Source!DD27</f>
      </c>
      <c r="H59" s="42">
        <f>ROUND((Source!CR27/IF(Source!BB27&lt;&gt;0,Source!BB27,1)*Source!I27),2)+ROUND((Source!CQ27/IF(Source!BC27&lt;&gt;0,Source!BC27,1)*Source!I27),2)+ROUND((Source!CT27/IF(Source!BA27&lt;&gt;0,Source!BA27,1)*Source!I27),2)</f>
        <v>-14781.25</v>
      </c>
      <c r="I59" s="35" t="str">
        <f>IF(Source!BO27&lt;&gt;"",Source!BO27,"")</f>
        <v>410-0054</v>
      </c>
      <c r="J59" s="33">
        <f>Source!BC27</f>
        <v>7.61</v>
      </c>
      <c r="K59" s="36">
        <f>Source!O27</f>
        <v>-112485.3</v>
      </c>
      <c r="L59" s="33"/>
      <c r="N59">
        <f>ROUND((Source!CT27/IF(Source!BA27&lt;&gt;0,Source!BA27,1)*Source!I27),2)</f>
        <v>0</v>
      </c>
      <c r="O59">
        <f>IF(Source!BI27=1,(ROUND((Source!CR27/IF(Source!BB27&lt;&gt;0,Source!BB27,1)*Source!I27),2)+ROUND((Source!CQ27/IF(Source!BC27&lt;&gt;0,Source!BC27,1)*Source!I27),2)+ROUND((Source!CT27/IF(Source!BA27&lt;&gt;0,Source!BA27,1)*Source!I27),2)),0)</f>
        <v>-14781.25</v>
      </c>
      <c r="P59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59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59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59">
        <f>IF(Source!BI27=1,Source!O27+Source!X27+Source!Y27,0)</f>
        <v>-112485.3</v>
      </c>
      <c r="T59">
        <f>IF(Source!BI27=2,Source!O27+Source!X27+Source!Y27,0)</f>
        <v>0</v>
      </c>
      <c r="U59">
        <f>IF(Source!BI27=3,Source!O27+Source!X27+Source!Y27,0)</f>
        <v>0</v>
      </c>
      <c r="V59">
        <f>IF(Source!BI27=4,Source!O27+Source!X27+Source!Y27,0)</f>
        <v>0</v>
      </c>
      <c r="W59">
        <f>ROUND((Source!CS27/IF(Source!BS27&lt;&gt;0,Source!BS27,1)*Source!I27),2)</f>
        <v>0</v>
      </c>
      <c r="X59">
        <f>ROUND((Source!FX27/100)*(ROUND((Source!CT27/IF(Source!BA27&lt;&gt;0,Source!BA27,1)*Source!I27),2)+ROUND((Source!CS27/IF(Source!BS27&lt;&gt;0,Source!BS27,1)*Source!I27),2)),2)</f>
        <v>0</v>
      </c>
      <c r="Y59">
        <f>ROUND((Source!FY27/100)*(ROUND((Source!CT27/IF(Source!BA27&lt;&gt;0,Source!BA27,1)*Source!I27),2)+ROUND((Source!CS27/IF(Source!BS27&lt;&gt;0,Source!BS27,1)*Source!I27),2)),2)</f>
        <v>0</v>
      </c>
    </row>
    <row r="60" spans="1:23" ht="15.75">
      <c r="A60" s="13"/>
      <c r="B60" s="13"/>
      <c r="C60" s="13"/>
      <c r="D60" s="13"/>
      <c r="E60" s="13"/>
      <c r="F60" s="13"/>
      <c r="G60" s="13"/>
      <c r="H60" s="37">
        <f>ROUND((Source!CT26/IF(Source!BA26&lt;&gt;0,Source!BA26,1)*Source!I26),2)+ROUND((Source!CR26/IF(Source!BB26&lt;&gt;0,Source!BB26,1)*Source!I26),2)+H55+H56+H57+H59</f>
        <v>2861.5600000000013</v>
      </c>
      <c r="I60" s="38"/>
      <c r="J60" s="38"/>
      <c r="K60" s="37">
        <f>Source!S26+Source!Q26+K55+K56+K57+K59</f>
        <v>37786.58</v>
      </c>
      <c r="L60" s="37">
        <f>Source!U26</f>
        <v>68.73552</v>
      </c>
      <c r="M60" s="31">
        <f>H60</f>
        <v>2861.5600000000013</v>
      </c>
      <c r="N60">
        <f>ROUND((Source!CT26/IF(Source!BA26&lt;&gt;0,Source!BA26,1)*Source!I26),2)</f>
        <v>638.53</v>
      </c>
      <c r="O60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17642.81836145</v>
      </c>
      <c r="P60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60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60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60">
        <f>IF(Source!BI26=1,Source!O26+Source!X26+Source!Y26,0)</f>
        <v>150271.88</v>
      </c>
      <c r="T60">
        <f>IF(Source!BI26=2,Source!O26+Source!X26+Source!Y26,0)</f>
        <v>0</v>
      </c>
      <c r="U60">
        <f>IF(Source!BI26=3,Source!O26+Source!X26+Source!Y26,0)</f>
        <v>0</v>
      </c>
      <c r="V60">
        <f>IF(Source!BI26=4,Source!O26+Source!X26+Source!Y26,0)</f>
        <v>0</v>
      </c>
      <c r="W60">
        <f>ROUND((Source!CS26/IF(Source!BS26&lt;&gt;0,Source!BS26,1)*Source!I26),2)</f>
        <v>2.59</v>
      </c>
    </row>
    <row r="61" spans="1:12" ht="105">
      <c r="A61" s="27" t="str">
        <f>Source!E28</f>
        <v>4</v>
      </c>
      <c r="B61" s="27" t="str">
        <f>Source!F28</f>
        <v>410-0013</v>
      </c>
      <c r="C61" s="28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61" s="29" t="str">
        <f>Source!H28</f>
        <v>т</v>
      </c>
      <c r="E61" s="13">
        <f>ROUND(Source!I28,6)</f>
        <v>32.4584</v>
      </c>
      <c r="F61" s="15">
        <f>IF(Source!AK28&lt;&gt;0,Source!AK28,Source!AL28+Source!AM28+Source!AO28)</f>
        <v>416.05</v>
      </c>
      <c r="G61" s="13"/>
      <c r="H61" s="13"/>
      <c r="I61" s="30" t="str">
        <f>IF(Source!BO28&lt;&gt;"",Source!BO28,"")</f>
        <v>410-0013</v>
      </c>
      <c r="J61" s="13"/>
      <c r="K61" s="13"/>
      <c r="L61" s="13"/>
    </row>
    <row r="62" spans="1:12" ht="15">
      <c r="A62" s="33"/>
      <c r="B62" s="33"/>
      <c r="C62" s="33" t="s">
        <v>225</v>
      </c>
      <c r="D62" s="33"/>
      <c r="E62" s="33"/>
      <c r="F62" s="36">
        <f>Source!AL28</f>
        <v>416.05</v>
      </c>
      <c r="G62" s="35">
        <f>Source!DD28</f>
      </c>
      <c r="H62" s="36">
        <f>ROUND((Source!CQ28/IF(Source!BC28&lt;&gt;0,Source!BC28,1)*Source!I28),2)</f>
        <v>13504.32</v>
      </c>
      <c r="I62" s="33"/>
      <c r="J62" s="33">
        <f>Source!BC28</f>
        <v>5.6</v>
      </c>
      <c r="K62" s="36">
        <f>Source!P28</f>
        <v>75624.18</v>
      </c>
      <c r="L62" s="33"/>
    </row>
    <row r="63" spans="1:23" ht="15.75">
      <c r="A63" s="13"/>
      <c r="B63" s="13"/>
      <c r="C63" s="13"/>
      <c r="D63" s="13"/>
      <c r="E63" s="13"/>
      <c r="F63" s="13"/>
      <c r="G63" s="13"/>
      <c r="H63" s="37">
        <f>ROUND((Source!CT28/IF(Source!BA28&lt;&gt;0,Source!BA28,1)*Source!I28),2)+ROUND((Source!CR28/IF(Source!BB28&lt;&gt;0,Source!BB28,1)*Source!I28),2)+H62</f>
        <v>13504.32</v>
      </c>
      <c r="I63" s="38"/>
      <c r="J63" s="38"/>
      <c r="K63" s="37">
        <f>Source!S28+Source!Q28+K62</f>
        <v>75624.18</v>
      </c>
      <c r="L63" s="37">
        <f>Source!U28</f>
        <v>0</v>
      </c>
      <c r="M63" s="31">
        <f>H63</f>
        <v>13504.32</v>
      </c>
      <c r="N63">
        <f>ROUND((Source!CT28/IF(Source!BA28&lt;&gt;0,Source!BA28,1)*Source!I28),2)</f>
        <v>0</v>
      </c>
      <c r="O63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13504.317320000002</v>
      </c>
      <c r="P63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63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63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63">
        <f>IF(Source!BI28=1,Source!O28+Source!X28+Source!Y28,0)</f>
        <v>75624.18</v>
      </c>
      <c r="T63">
        <f>IF(Source!BI28=2,Source!O28+Source!X28+Source!Y28,0)</f>
        <v>0</v>
      </c>
      <c r="U63">
        <f>IF(Source!BI28=3,Source!O28+Source!X28+Source!Y28,0)</f>
        <v>0</v>
      </c>
      <c r="V63">
        <f>IF(Source!BI28=4,Source!O28+Source!X28+Source!Y28,0)</f>
        <v>0</v>
      </c>
      <c r="W63">
        <f>ROUND((Source!CS28/IF(Source!BS28&lt;&gt;0,Source!BS28,1)*Source!I28),2)</f>
        <v>0</v>
      </c>
    </row>
    <row r="64" spans="1:12" ht="45">
      <c r="A64" s="27" t="str">
        <f>Source!E29</f>
        <v>5</v>
      </c>
      <c r="B64" s="27" t="str">
        <f>Source!F29</f>
        <v>27-07-001-2</v>
      </c>
      <c r="C64" s="28" t="str">
        <f>Source!G29</f>
        <v>На каждые 0,5 см изменения толщины покрытия добавлять к расценке 27-07-001-01</v>
      </c>
      <c r="D64" s="29" t="str">
        <f>Source!H29</f>
        <v>100 м2</v>
      </c>
      <c r="E64" s="13">
        <f>ROUND(Source!I29,6)</f>
        <v>4.546</v>
      </c>
      <c r="F64" s="15">
        <f>IF(Source!AK29&lt;&gt;0,Source!AK29,Source!AL29+Source!AM29+Source!AO29)</f>
        <v>580.9699999999999</v>
      </c>
      <c r="G64" s="13"/>
      <c r="H64" s="13"/>
      <c r="I64" s="30" t="str">
        <f>IF(Source!BO29&lt;&gt;"",Source!BO29,"")</f>
        <v>27-07-001-2</v>
      </c>
      <c r="J64" s="13"/>
      <c r="K64" s="13"/>
      <c r="L64" s="13"/>
    </row>
    <row r="65" spans="1:12" ht="15">
      <c r="A65" s="13"/>
      <c r="B65" s="13"/>
      <c r="C65" s="13" t="s">
        <v>223</v>
      </c>
      <c r="D65" s="13"/>
      <c r="E65" s="13"/>
      <c r="F65" s="15">
        <f>Source!AO29</f>
        <v>21.55</v>
      </c>
      <c r="G65" s="30" t="str">
        <f>Source!DG29</f>
        <v>*4</v>
      </c>
      <c r="H65" s="15">
        <f>ROUND((Source!CT29/IF(Source!BA29&lt;&gt;0,Source!BA29,1)*Source!I29),2)</f>
        <v>391.87</v>
      </c>
      <c r="I65" s="13"/>
      <c r="J65" s="13">
        <f>Source!BA29</f>
        <v>17.84</v>
      </c>
      <c r="K65" s="15">
        <f>Source!S29</f>
        <v>6990.88</v>
      </c>
      <c r="L65" s="13"/>
    </row>
    <row r="66" spans="1:12" ht="15">
      <c r="A66" s="13"/>
      <c r="B66" s="13"/>
      <c r="C66" s="13" t="s">
        <v>63</v>
      </c>
      <c r="D66" s="13"/>
      <c r="E66" s="13"/>
      <c r="F66" s="15">
        <f>Source!AM29</f>
        <v>8.4</v>
      </c>
      <c r="G66" s="30" t="str">
        <f>Source!DE29</f>
        <v>*4</v>
      </c>
      <c r="H66" s="15">
        <f>ROUND((Source!CR29/IF(Source!BB29&lt;&gt;0,Source!BB29,1)*Source!I29),2)</f>
        <v>152.75</v>
      </c>
      <c r="I66" s="13"/>
      <c r="J66" s="13">
        <f>Source!BB29</f>
        <v>5.07</v>
      </c>
      <c r="K66" s="15">
        <f>Source!Q29</f>
        <v>774.42</v>
      </c>
      <c r="L66" s="13"/>
    </row>
    <row r="67" spans="1:12" ht="15">
      <c r="A67" s="13"/>
      <c r="B67" s="13"/>
      <c r="C67" s="13" t="s">
        <v>225</v>
      </c>
      <c r="D67" s="13"/>
      <c r="E67" s="13"/>
      <c r="F67" s="15">
        <f>Source!AL29</f>
        <v>551.02</v>
      </c>
      <c r="G67" s="30" t="str">
        <f>Source!DD29</f>
        <v>*4</v>
      </c>
      <c r="H67" s="15">
        <f>ROUND((Source!CQ29/IF(Source!BC29&lt;&gt;0,Source!BC29,1)*Source!I29),2)</f>
        <v>10019.75</v>
      </c>
      <c r="I67" s="13"/>
      <c r="J67" s="13">
        <f>Source!BC29</f>
        <v>7.61</v>
      </c>
      <c r="K67" s="15">
        <f>Source!P29</f>
        <v>76250.28</v>
      </c>
      <c r="L67" s="13"/>
    </row>
    <row r="68" spans="1:24" ht="15">
      <c r="A68" s="13"/>
      <c r="B68" s="13"/>
      <c r="C68" s="13" t="s">
        <v>226</v>
      </c>
      <c r="D68" s="16" t="s">
        <v>227</v>
      </c>
      <c r="E68" s="13"/>
      <c r="F68" s="15">
        <f>Source!BZ29</f>
        <v>142</v>
      </c>
      <c r="G68" s="13"/>
      <c r="H68" s="15">
        <f>X68+X71</f>
        <v>556.46</v>
      </c>
      <c r="I68" s="13" t="str">
        <f>Source!FV29</f>
        <v>((*0.85))</v>
      </c>
      <c r="J68" s="15">
        <f>Source!AT29</f>
        <v>121</v>
      </c>
      <c r="K68" s="15">
        <f>Source!X29+Source!X30</f>
        <v>8458.96</v>
      </c>
      <c r="L68" s="13"/>
      <c r="X68">
        <f>ROUND((Source!FX29/100)*(ROUND((Source!CT29/IF(Source!BA29&lt;&gt;0,Source!BA29,1)*Source!I29),2)+ROUND((Source!CS29/IF(Source!BS29&lt;&gt;0,Source!BS29,1)*Source!I29),2)),2)</f>
        <v>556.46</v>
      </c>
    </row>
    <row r="69" spans="1:25" ht="15">
      <c r="A69" s="13"/>
      <c r="B69" s="13"/>
      <c r="C69" s="13" t="s">
        <v>79</v>
      </c>
      <c r="D69" s="16" t="s">
        <v>227</v>
      </c>
      <c r="E69" s="13"/>
      <c r="F69" s="15">
        <f>Source!CA29</f>
        <v>95</v>
      </c>
      <c r="G69" s="13" t="str">
        <f>Source!FU29</f>
        <v>*0.85</v>
      </c>
      <c r="H69" s="15">
        <f>Y69+Y71</f>
        <v>316.44</v>
      </c>
      <c r="I69" s="13" t="str">
        <f>Source!FW29</f>
        <v>((*0.8))</v>
      </c>
      <c r="J69" s="15">
        <f>Source!AU29</f>
        <v>65</v>
      </c>
      <c r="K69" s="15">
        <f>Source!Y29+Source!Y30</f>
        <v>4544.07</v>
      </c>
      <c r="L69" s="13"/>
      <c r="Y69">
        <f>ROUND((Source!FY29/100)*(ROUND((Source!CT29/IF(Source!BA29&lt;&gt;0,Source!BA29,1)*Source!I29),2)+ROUND((Source!CS29/IF(Source!BS29&lt;&gt;0,Source!BS29,1)*Source!I29),2)),2)</f>
        <v>316.44</v>
      </c>
    </row>
    <row r="70" spans="1:12" ht="15">
      <c r="A70" s="13"/>
      <c r="B70" s="13"/>
      <c r="C70" s="13" t="s">
        <v>228</v>
      </c>
      <c r="D70" s="16" t="s">
        <v>229</v>
      </c>
      <c r="E70" s="13">
        <f>Source!AQ29</f>
        <v>2.32</v>
      </c>
      <c r="F70" s="13"/>
      <c r="G70" s="30" t="str">
        <f>Source!DI29</f>
        <v>*4</v>
      </c>
      <c r="H70" s="13"/>
      <c r="I70" s="13"/>
      <c r="J70" s="13"/>
      <c r="K70" s="13"/>
      <c r="L70" s="15">
        <f>Source!U29</f>
        <v>42.18688</v>
      </c>
    </row>
    <row r="71" spans="1:25" ht="30">
      <c r="A71" s="39"/>
      <c r="B71" s="39" t="str">
        <f>Source!F30</f>
        <v>410-0054</v>
      </c>
      <c r="C71" s="40" t="str">
        <f>Source!G30</f>
        <v>Асфальт литой для покрытий тротуаров тип II (жесткий)</v>
      </c>
      <c r="D71" s="41" t="str">
        <f>Source!H30</f>
        <v>т</v>
      </c>
      <c r="E71" s="33">
        <f>ROUND(Source!I30,6)</f>
        <v>-5.50066</v>
      </c>
      <c r="F71" s="36">
        <f>IF(Source!AL30=0,Source!AK30,Source!AL30)</f>
        <v>455.39</v>
      </c>
      <c r="G71" s="35" t="str">
        <f>Source!DD30</f>
        <v>*4</v>
      </c>
      <c r="H71" s="42">
        <f>ROUND((Source!CR30/IF(Source!BB30&lt;&gt;0,Source!BB30,1)*Source!I30),2)+ROUND((Source!CQ30/IF(Source!BC30&lt;&gt;0,Source!BC30,1)*Source!I30),2)+ROUND((Source!CT30/IF(Source!BA30&lt;&gt;0,Source!BA30,1)*Source!I30),2)</f>
        <v>-10019.78</v>
      </c>
      <c r="I71" s="35" t="str">
        <f>IF(Source!BO30&lt;&gt;"",Source!BO30,"")</f>
        <v>410-0054</v>
      </c>
      <c r="J71" s="33">
        <f>Source!BC30</f>
        <v>7.61</v>
      </c>
      <c r="K71" s="36">
        <f>Source!O30</f>
        <v>-76250.54</v>
      </c>
      <c r="L71" s="33"/>
      <c r="N71">
        <f>ROUND((Source!CT30/IF(Source!BA30&lt;&gt;0,Source!BA30,1)*Source!I30),2)</f>
        <v>0</v>
      </c>
      <c r="O71">
        <f>IF(Source!BI30=1,(ROUND((Source!CR30/IF(Source!BB30&lt;&gt;0,Source!BB30,1)*Source!I30),2)+ROUND((Source!CQ30/IF(Source!BC30&lt;&gt;0,Source!BC30,1)*Source!I30),2)+ROUND((Source!CT30/IF(Source!BA30&lt;&gt;0,Source!BA30,1)*Source!I30),2)),0)</f>
        <v>-10019.78</v>
      </c>
      <c r="P71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71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71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71">
        <f>IF(Source!BI30=1,Source!O30+Source!X30+Source!Y30,0)</f>
        <v>-76250.54</v>
      </c>
      <c r="T71">
        <f>IF(Source!BI30=2,Source!O30+Source!X30+Source!Y30,0)</f>
        <v>0</v>
      </c>
      <c r="U71">
        <f>IF(Source!BI30=3,Source!O30+Source!X30+Source!Y30,0)</f>
        <v>0</v>
      </c>
      <c r="V71">
        <f>IF(Source!BI30=4,Source!O30+Source!X30+Source!Y30,0)</f>
        <v>0</v>
      </c>
      <c r="W71">
        <f>ROUND((Source!CS30/IF(Source!BS30&lt;&gt;0,Source!BS30,1)*Source!I30),2)</f>
        <v>0</v>
      </c>
      <c r="X71">
        <f>ROUND((Source!FX30/100)*(ROUND((Source!CT30/IF(Source!BA30&lt;&gt;0,Source!BA30,1)*Source!I30),2)+ROUND((Source!CS30/IF(Source!BS30&lt;&gt;0,Source!BS30,1)*Source!I30),2)),2)</f>
        <v>0</v>
      </c>
      <c r="Y71">
        <f>ROUND((Source!FY30/100)*(ROUND((Source!CT30/IF(Source!BA30&lt;&gt;0,Source!BA30,1)*Source!I30),2)+ROUND((Source!CS30/IF(Source!BS30&lt;&gt;0,Source!BS30,1)*Source!I30),2)),2)</f>
        <v>0</v>
      </c>
    </row>
    <row r="72" spans="1:23" ht="15.75">
      <c r="A72" s="13"/>
      <c r="B72" s="13"/>
      <c r="C72" s="13"/>
      <c r="D72" s="13"/>
      <c r="E72" s="13"/>
      <c r="F72" s="13"/>
      <c r="G72" s="13"/>
      <c r="H72" s="37">
        <f>ROUND((Source!CT29/IF(Source!BA29&lt;&gt;0,Source!BA29,1)*Source!I29),2)+ROUND((Source!CR29/IF(Source!BB29&lt;&gt;0,Source!BB29,1)*Source!I29),2)+H67+H68+H69+H71</f>
        <v>1417.4900000000016</v>
      </c>
      <c r="I72" s="38"/>
      <c r="J72" s="38"/>
      <c r="K72" s="37">
        <f>Source!S29+Source!Q29+K67+K68+K69+K71</f>
        <v>20768.07000000002</v>
      </c>
      <c r="L72" s="37">
        <f>Source!U29</f>
        <v>42.18688</v>
      </c>
      <c r="M72" s="31">
        <f>H72</f>
        <v>1417.4900000000016</v>
      </c>
      <c r="N72">
        <f>ROUND((Source!CT29/IF(Source!BA29&lt;&gt;0,Source!BA29,1)*Source!I29),2)</f>
        <v>391.87</v>
      </c>
      <c r="O72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11437.238213</v>
      </c>
      <c r="P72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72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72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72">
        <f>IF(Source!BI29=1,Source!O29+Source!X29+Source!Y29,0)</f>
        <v>97018.61000000002</v>
      </c>
      <c r="T72">
        <f>IF(Source!BI29=2,Source!O29+Source!X29+Source!Y29,0)</f>
        <v>0</v>
      </c>
      <c r="U72">
        <f>IF(Source!BI29=3,Source!O29+Source!X29+Source!Y29,0)</f>
        <v>0</v>
      </c>
      <c r="V72">
        <f>IF(Source!BI29=4,Source!O29+Source!X29+Source!Y29,0)</f>
        <v>0</v>
      </c>
      <c r="W72">
        <f>ROUND((Source!CS29/IF(Source!BS29&lt;&gt;0,Source!BS29,1)*Source!I29),2)</f>
        <v>0</v>
      </c>
    </row>
    <row r="73" spans="1:12" ht="105">
      <c r="A73" s="27" t="str">
        <f>Source!E31</f>
        <v>6</v>
      </c>
      <c r="B73" s="27" t="str">
        <f>Source!F31</f>
        <v>410-0013</v>
      </c>
      <c r="C73" s="28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73" s="29" t="str">
        <f>Source!H31</f>
        <v>т</v>
      </c>
      <c r="E73" s="13">
        <f>ROUND(Source!I31,6)</f>
        <v>5.50066</v>
      </c>
      <c r="F73" s="15">
        <f>IF(Source!AK31&lt;&gt;0,Source!AK31,Source!AL31+Source!AM31+Source!AO31)</f>
        <v>416.05</v>
      </c>
      <c r="G73" s="13"/>
      <c r="H73" s="13"/>
      <c r="I73" s="30" t="str">
        <f>IF(Source!BO31&lt;&gt;"",Source!BO31,"")</f>
        <v>410-0013</v>
      </c>
      <c r="J73" s="13"/>
      <c r="K73" s="13"/>
      <c r="L73" s="13"/>
    </row>
    <row r="74" spans="1:12" ht="15">
      <c r="A74" s="33"/>
      <c r="B74" s="33"/>
      <c r="C74" s="33" t="s">
        <v>225</v>
      </c>
      <c r="D74" s="33"/>
      <c r="E74" s="33"/>
      <c r="F74" s="36">
        <f>Source!AL31</f>
        <v>416.05</v>
      </c>
      <c r="G74" s="35" t="str">
        <f>Source!DD31</f>
        <v>*4</v>
      </c>
      <c r="H74" s="36">
        <f>ROUND((Source!CQ31/IF(Source!BC31&lt;&gt;0,Source!BC31,1)*Source!I31),2)</f>
        <v>9154.2</v>
      </c>
      <c r="I74" s="33"/>
      <c r="J74" s="33">
        <f>Source!BC31</f>
        <v>5.6</v>
      </c>
      <c r="K74" s="36">
        <f>Source!P31</f>
        <v>51263.51</v>
      </c>
      <c r="L74" s="33"/>
    </row>
    <row r="75" spans="1:23" ht="15.75">
      <c r="A75" s="13"/>
      <c r="B75" s="13"/>
      <c r="C75" s="13"/>
      <c r="D75" s="13"/>
      <c r="E75" s="13"/>
      <c r="F75" s="13"/>
      <c r="G75" s="13"/>
      <c r="H75" s="37">
        <f>ROUND((Source!CT31/IF(Source!BA31&lt;&gt;0,Source!BA31,1)*Source!I31),2)+ROUND((Source!CR31/IF(Source!BB31&lt;&gt;0,Source!BB31,1)*Source!I31),2)+H74</f>
        <v>9154.2</v>
      </c>
      <c r="I75" s="38"/>
      <c r="J75" s="38"/>
      <c r="K75" s="37">
        <f>Source!S31+Source!Q31+K74</f>
        <v>51263.51</v>
      </c>
      <c r="L75" s="37">
        <f>Source!U31</f>
        <v>0</v>
      </c>
      <c r="M75" s="31">
        <f>H75</f>
        <v>9154.2</v>
      </c>
      <c r="N75">
        <f>ROUND((Source!CT31/IF(Source!BA31&lt;&gt;0,Source!BA31,1)*Source!I31),2)</f>
        <v>0</v>
      </c>
      <c r="O75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9154.198372</v>
      </c>
      <c r="P75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75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75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75">
        <f>IF(Source!BI31=1,Source!O31+Source!X31+Source!Y31,0)</f>
        <v>51263.51</v>
      </c>
      <c r="T75">
        <f>IF(Source!BI31=2,Source!O31+Source!X31+Source!Y31,0)</f>
        <v>0</v>
      </c>
      <c r="U75">
        <f>IF(Source!BI31=3,Source!O31+Source!X31+Source!Y31,0)</f>
        <v>0</v>
      </c>
      <c r="V75">
        <f>IF(Source!BI31=4,Source!O31+Source!X31+Source!Y31,0)</f>
        <v>0</v>
      </c>
      <c r="W75">
        <f>ROUND((Source!CS31/IF(Source!BS31&lt;&gt;0,Source!BS31,1)*Source!I31),2)</f>
        <v>0</v>
      </c>
    </row>
    <row r="77" spans="3:23" s="38" customFormat="1" ht="15.75">
      <c r="C77" s="38" t="s">
        <v>81</v>
      </c>
      <c r="G77" s="90">
        <f>SUM(M33:M76)</f>
        <v>35473.450000000004</v>
      </c>
      <c r="H77" s="90"/>
      <c r="J77" s="90">
        <f>ROUND(Source!AB22+Source!AK22+Source!AL22+Source!AE22*0/100,2)</f>
        <v>269666.75</v>
      </c>
      <c r="K77" s="90"/>
      <c r="L77" s="37">
        <f>Source!AH22</f>
        <v>179.53</v>
      </c>
      <c r="N77" s="37">
        <f aca="true" t="shared" si="0" ref="N77:W77">SUM(N33:N76)</f>
        <v>1610.85</v>
      </c>
      <c r="O77" s="37">
        <f t="shared" si="0"/>
        <v>35473.396754725</v>
      </c>
      <c r="P77" s="37">
        <f t="shared" si="0"/>
        <v>0</v>
      </c>
      <c r="Q77" s="37">
        <f t="shared" si="0"/>
        <v>0</v>
      </c>
      <c r="R77" s="37">
        <f t="shared" si="0"/>
        <v>0</v>
      </c>
      <c r="S77" s="37">
        <f t="shared" si="0"/>
        <v>269666.75</v>
      </c>
      <c r="T77" s="37">
        <f t="shared" si="0"/>
        <v>0</v>
      </c>
      <c r="U77" s="37">
        <f t="shared" si="0"/>
        <v>0</v>
      </c>
      <c r="V77" s="37">
        <f t="shared" si="0"/>
        <v>0</v>
      </c>
      <c r="W77" s="38">
        <f t="shared" si="0"/>
        <v>92.53</v>
      </c>
    </row>
    <row r="80" spans="3:12" s="43" customFormat="1" ht="18" hidden="1">
      <c r="C80" s="43" t="s">
        <v>230</v>
      </c>
      <c r="G80" s="84">
        <f>G77</f>
        <v>35473.450000000004</v>
      </c>
      <c r="H80" s="84"/>
      <c r="J80" s="84">
        <f>ROUND(Source!O33+Source!X33+Source!Y33+Source!R33*0/100,2)</f>
        <v>269666.75</v>
      </c>
      <c r="K80" s="84"/>
      <c r="L80" s="44">
        <f>Source!U33</f>
        <v>179.53</v>
      </c>
    </row>
    <row r="82" spans="3:11" ht="18">
      <c r="C82" s="43" t="s">
        <v>231</v>
      </c>
      <c r="D82" s="91" t="str">
        <f>Source!G49</f>
        <v> ремонт тротуара  от  пересечения тротуара ведущего   к  администрации до ул.Строителей д.2а  и  тротуара к д.2  по ул.1 мая</v>
      </c>
      <c r="E82" s="91"/>
      <c r="F82" s="91"/>
      <c r="G82" s="91"/>
      <c r="H82" s="91"/>
      <c r="I82" s="91"/>
      <c r="J82" s="91"/>
      <c r="K82" s="91"/>
    </row>
    <row r="83" spans="3:12" ht="18">
      <c r="C83" s="81" t="str">
        <f>Source!H64</f>
        <v>Итого</v>
      </c>
      <c r="D83" s="81"/>
      <c r="E83" s="81"/>
      <c r="F83" s="81"/>
      <c r="G83" s="81"/>
      <c r="H83" s="81"/>
      <c r="I83" s="81"/>
      <c r="J83" s="82">
        <f>Source!F64</f>
        <v>269666.75</v>
      </c>
      <c r="K83" s="83"/>
      <c r="L83" s="45"/>
    </row>
    <row r="84" spans="3:12" ht="18">
      <c r="C84" s="81" t="str">
        <f>Source!H65</f>
        <v>НДС 18%</v>
      </c>
      <c r="D84" s="81"/>
      <c r="E84" s="81"/>
      <c r="F84" s="81"/>
      <c r="G84" s="81"/>
      <c r="H84" s="81"/>
      <c r="I84" s="81"/>
      <c r="J84" s="82">
        <f>Source!F65</f>
        <v>48540.02</v>
      </c>
      <c r="K84" s="83"/>
      <c r="L84" s="45"/>
    </row>
    <row r="85" spans="3:12" ht="18">
      <c r="C85" s="81" t="str">
        <f>Source!H66</f>
        <v>ВСЕГО</v>
      </c>
      <c r="D85" s="81"/>
      <c r="E85" s="81"/>
      <c r="F85" s="81"/>
      <c r="G85" s="81"/>
      <c r="H85" s="81"/>
      <c r="I85" s="81"/>
      <c r="J85" s="82">
        <f>Source!F66</f>
        <v>318206.77</v>
      </c>
      <c r="K85" s="83"/>
      <c r="L85" s="45"/>
    </row>
    <row r="87" spans="3:12" s="43" customFormat="1" ht="18" hidden="1">
      <c r="C87" s="43" t="s">
        <v>231</v>
      </c>
      <c r="G87" s="84">
        <f>SUM(M1:M87)</f>
        <v>35473.450000000004</v>
      </c>
      <c r="H87" s="84"/>
      <c r="J87" s="84">
        <f>ROUND(Source!O18+Source!X18+Source!Y18+Source!R18*0/100,2)</f>
        <v>269666.75</v>
      </c>
      <c r="K87" s="84"/>
      <c r="L87" s="44">
        <f>Source!U18</f>
        <v>179.53</v>
      </c>
    </row>
    <row r="88" spans="1:8" ht="12.75">
      <c r="A88" t="s">
        <v>259</v>
      </c>
      <c r="C88" s="48" t="str">
        <f>IF(Source!AS12&lt;&gt;"",Source!AS12," ")</f>
        <v> </v>
      </c>
      <c r="D88" s="48"/>
      <c r="E88" s="48"/>
      <c r="F88" s="48"/>
      <c r="G88" s="48"/>
      <c r="H88" t="str">
        <f>IF(Source!M12&lt;&gt;"",Source!M12," ")</f>
        <v> </v>
      </c>
    </row>
    <row r="89" spans="3:7" s="5" customFormat="1" ht="11.25">
      <c r="C89" s="85" t="s">
        <v>233</v>
      </c>
      <c r="D89" s="85"/>
      <c r="E89" s="85"/>
      <c r="F89" s="85"/>
      <c r="G89" s="85"/>
    </row>
    <row r="91" spans="1:8" ht="12.75">
      <c r="A91" t="s">
        <v>260</v>
      </c>
      <c r="C91" s="48" t="str">
        <f>IF(Source!AR12&lt;&gt;"",Source!AR12," ")</f>
        <v> </v>
      </c>
      <c r="D91" s="48"/>
      <c r="E91" s="48"/>
      <c r="F91" s="48"/>
      <c r="G91" s="48"/>
      <c r="H91" t="str">
        <f>IF(Source!L12&lt;&gt;"",Source!L12," ")</f>
        <v> </v>
      </c>
    </row>
    <row r="92" spans="3:7" s="5" customFormat="1" ht="11.25">
      <c r="C92" s="85" t="s">
        <v>233</v>
      </c>
      <c r="D92" s="85"/>
      <c r="E92" s="85"/>
      <c r="F92" s="85"/>
      <c r="G92" s="85"/>
    </row>
  </sheetData>
  <sheetProtection/>
  <mergeCells count="49">
    <mergeCell ref="A1:D1"/>
    <mergeCell ref="H1:L1"/>
    <mergeCell ref="H2:L2"/>
    <mergeCell ref="H3:L3"/>
    <mergeCell ref="K5:L5"/>
    <mergeCell ref="K6:L6"/>
    <mergeCell ref="A7:B7"/>
    <mergeCell ref="C7:I7"/>
    <mergeCell ref="K7:L7"/>
    <mergeCell ref="A8:B8"/>
    <mergeCell ref="C8:I8"/>
    <mergeCell ref="K8:L8"/>
    <mergeCell ref="A9:B9"/>
    <mergeCell ref="C9:I9"/>
    <mergeCell ref="K9:L9"/>
    <mergeCell ref="A10:B10"/>
    <mergeCell ref="C10:I10"/>
    <mergeCell ref="K10:L10"/>
    <mergeCell ref="A11:B11"/>
    <mergeCell ref="C11:I11"/>
    <mergeCell ref="K11:L11"/>
    <mergeCell ref="F12:I12"/>
    <mergeCell ref="K12:L12"/>
    <mergeCell ref="F13:I13"/>
    <mergeCell ref="K13:L13"/>
    <mergeCell ref="K14:L14"/>
    <mergeCell ref="F17:G18"/>
    <mergeCell ref="F19:G19"/>
    <mergeCell ref="H17:I18"/>
    <mergeCell ref="H19:I19"/>
    <mergeCell ref="K17:L17"/>
    <mergeCell ref="J80:K80"/>
    <mergeCell ref="G80:H80"/>
    <mergeCell ref="D82:K82"/>
    <mergeCell ref="C83:I83"/>
    <mergeCell ref="J83:K83"/>
    <mergeCell ref="A22:L22"/>
    <mergeCell ref="A24:I24"/>
    <mergeCell ref="D31:L31"/>
    <mergeCell ref="J77:K77"/>
    <mergeCell ref="G77:H77"/>
    <mergeCell ref="J87:K87"/>
    <mergeCell ref="G87:H87"/>
    <mergeCell ref="C89:G89"/>
    <mergeCell ref="C92:G92"/>
    <mergeCell ref="C84:I84"/>
    <mergeCell ref="J84:K84"/>
    <mergeCell ref="C85:I85"/>
    <mergeCell ref="J85:K85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100"/>
  <sheetViews>
    <sheetView tabSelected="1" zoomScale="116" zoomScaleNormal="116" zoomScalePageLayoutView="0" workbookViewId="0" topLeftCell="A1">
      <selection activeCell="B18" sqref="B18:L18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7" width="11.28125" style="0" customWidth="1"/>
    <col min="8" max="8" width="12.28125" style="0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="5" customFormat="1" ht="11.25"/>
    <row r="3" spans="1:9" s="6" customFormat="1" ht="15">
      <c r="A3" s="6" t="s">
        <v>169</v>
      </c>
      <c r="F3" s="111" t="s">
        <v>170</v>
      </c>
      <c r="G3" s="111"/>
      <c r="H3" s="111"/>
      <c r="I3" s="111"/>
    </row>
    <row r="5" spans="1:11" ht="12.75">
      <c r="A5" s="112">
        <f>Source!AS12</f>
      </c>
      <c r="B5" s="112"/>
      <c r="C5" s="112">
        <f>Source!CH12</f>
      </c>
      <c r="D5" s="112"/>
      <c r="E5" s="7"/>
      <c r="F5" s="112">
        <f>Source!AR12</f>
      </c>
      <c r="G5" s="112"/>
      <c r="H5" s="112"/>
      <c r="I5" s="112">
        <f>Source!CG12</f>
      </c>
      <c r="J5" s="112"/>
      <c r="K5" s="11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112">
        <f>Source!M12</f>
      </c>
      <c r="D7" s="112"/>
      <c r="E7" s="7"/>
      <c r="F7" s="8"/>
      <c r="G7" s="8"/>
      <c r="H7" s="112">
        <f>Source!L12</f>
      </c>
      <c r="I7" s="112"/>
      <c r="J7" s="112"/>
      <c r="K7" s="112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171</v>
      </c>
      <c r="F9" s="6" t="s">
        <v>171</v>
      </c>
    </row>
    <row r="11" spans="1:30" ht="20.25">
      <c r="A11" s="107" t="str">
        <f>IF(Source!G4&lt;&gt;"",Source!G4,IF(Source!F4&lt;&gt;"",Source!F4,IF(Source!G5&lt;&gt;"",Source!G5,IF(Source!F5&lt;&gt;"",Source!F5,IF(Source!G6&lt;&gt;"",Source!G6,IF(Source!F6&lt;&gt;"",Source!F6," "))))))</f>
        <v> 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AD11" s="9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108" t="s">
        <v>172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5" spans="1:30" ht="20.25">
      <c r="A15" s="110" t="s">
        <v>273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AD15" s="11" t="s">
        <v>173</v>
      </c>
    </row>
    <row r="18" spans="1:30" ht="56.25">
      <c r="A18" s="4" t="s">
        <v>174</v>
      </c>
      <c r="B18" s="116" t="s">
        <v>274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AD18" s="12" t="str">
        <f>IF(Source!G12&lt;&gt;"",Source!G12,Source!F12)</f>
        <v> ремонт тротуара  от  пересечения тротуара ведущего   к  администрации до ул.Строителей д.2а  и  тротуара к д.2  по ул.1 мая</v>
      </c>
    </row>
    <row r="19" spans="2:12" ht="12.75">
      <c r="B19" s="108" t="s">
        <v>175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1" spans="1:30" ht="15">
      <c r="A21" s="117" t="str">
        <f>CONCATENATE("Основание: ",Source!J12)</f>
        <v>Основание: 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AD21" s="10" t="str">
        <f>CONCATENATE("Основание: ",Source!J12)</f>
        <v>Основание: </v>
      </c>
    </row>
    <row r="23" spans="5:10" ht="12.75">
      <c r="E23" s="4"/>
      <c r="F23" s="4"/>
      <c r="G23" s="4"/>
      <c r="H23" s="4"/>
      <c r="I23" s="4"/>
      <c r="J23" s="4"/>
    </row>
    <row r="24" spans="5:10" ht="12.75">
      <c r="E24" s="14"/>
      <c r="F24" s="14"/>
      <c r="G24" s="118" t="s">
        <v>176</v>
      </c>
      <c r="H24" s="118"/>
      <c r="I24" s="118" t="s">
        <v>177</v>
      </c>
      <c r="J24" s="118"/>
    </row>
    <row r="25" spans="3:12" ht="15" customHeight="1">
      <c r="C25" s="113" t="s">
        <v>178</v>
      </c>
      <c r="D25" s="113"/>
      <c r="E25" s="113"/>
      <c r="F25" s="113"/>
      <c r="G25" s="114">
        <f>G95/1000</f>
        <v>35.47345000000001</v>
      </c>
      <c r="H25" s="114"/>
      <c r="I25" s="114">
        <f>(Source!F66/1000)</f>
        <v>318.20677</v>
      </c>
      <c r="J25" s="114"/>
      <c r="K25" s="115" t="s">
        <v>179</v>
      </c>
      <c r="L25" s="115"/>
    </row>
    <row r="26" spans="3:12" ht="15" hidden="1">
      <c r="C26" s="100" t="s">
        <v>180</v>
      </c>
      <c r="D26" s="100"/>
      <c r="E26" s="100"/>
      <c r="F26" s="100"/>
      <c r="G26" s="114">
        <f>O95/1000</f>
        <v>35.473396754725</v>
      </c>
      <c r="H26" s="114"/>
      <c r="I26" s="114">
        <f>S95/1000</f>
        <v>269.66675</v>
      </c>
      <c r="J26" s="114"/>
      <c r="K26" s="115" t="s">
        <v>179</v>
      </c>
      <c r="L26" s="115"/>
    </row>
    <row r="27" spans="3:12" ht="15" hidden="1">
      <c r="C27" s="100" t="s">
        <v>181</v>
      </c>
      <c r="D27" s="100"/>
      <c r="E27" s="100"/>
      <c r="F27" s="100"/>
      <c r="G27" s="114">
        <f>P95/1000</f>
        <v>0</v>
      </c>
      <c r="H27" s="114"/>
      <c r="I27" s="114">
        <f>T95/1000</f>
        <v>0</v>
      </c>
      <c r="J27" s="114"/>
      <c r="K27" s="115" t="s">
        <v>179</v>
      </c>
      <c r="L27" s="115"/>
    </row>
    <row r="28" spans="3:12" ht="15" hidden="1">
      <c r="C28" s="100" t="s">
        <v>182</v>
      </c>
      <c r="D28" s="100"/>
      <c r="E28" s="100"/>
      <c r="F28" s="100"/>
      <c r="G28" s="114">
        <f>Q95/1000</f>
        <v>0</v>
      </c>
      <c r="H28" s="114"/>
      <c r="I28" s="114">
        <f>U95/1000</f>
        <v>0</v>
      </c>
      <c r="J28" s="114"/>
      <c r="K28" s="115" t="s">
        <v>179</v>
      </c>
      <c r="L28" s="115"/>
    </row>
    <row r="29" spans="3:12" ht="15" hidden="1">
      <c r="C29" s="100" t="s">
        <v>183</v>
      </c>
      <c r="D29" s="100"/>
      <c r="E29" s="100"/>
      <c r="F29" s="100"/>
      <c r="G29" s="114">
        <f>R95/1000</f>
        <v>0</v>
      </c>
      <c r="H29" s="114"/>
      <c r="I29" s="114">
        <f>V95/1000</f>
        <v>0</v>
      </c>
      <c r="J29" s="114"/>
      <c r="K29" s="115" t="s">
        <v>179</v>
      </c>
      <c r="L29" s="115"/>
    </row>
    <row r="30" spans="3:12" ht="15.75">
      <c r="C30" s="113" t="s">
        <v>184</v>
      </c>
      <c r="D30" s="113"/>
      <c r="E30" s="113"/>
      <c r="F30" s="113"/>
      <c r="G30" s="114">
        <f>(Source!F59)</f>
        <v>179.53</v>
      </c>
      <c r="H30" s="114"/>
      <c r="I30" s="114">
        <f>(Source!F59)</f>
        <v>179.53</v>
      </c>
      <c r="J30" s="114"/>
      <c r="K30" s="115" t="s">
        <v>132</v>
      </c>
      <c r="L30" s="115"/>
    </row>
    <row r="31" spans="3:12" ht="15.75">
      <c r="C31" s="113" t="s">
        <v>185</v>
      </c>
      <c r="D31" s="113"/>
      <c r="E31" s="113"/>
      <c r="F31" s="113"/>
      <c r="G31" s="114">
        <f>(N95+W95)/1000</f>
        <v>1.70338</v>
      </c>
      <c r="H31" s="114"/>
      <c r="I31" s="114">
        <f>((Source!F57+Source!F56)/1000)</f>
        <v>30.388060000000003</v>
      </c>
      <c r="J31" s="114"/>
      <c r="K31" s="115" t="s">
        <v>179</v>
      </c>
      <c r="L31" s="115"/>
    </row>
    <row r="33" spans="1:6" ht="12.75">
      <c r="A33" s="119" t="s">
        <v>186</v>
      </c>
      <c r="B33" s="119"/>
      <c r="C33" s="119"/>
      <c r="D33" s="4"/>
      <c r="E33" s="4"/>
      <c r="F33" s="4"/>
    </row>
    <row r="34" spans="1:12" ht="15">
      <c r="A34" s="17"/>
      <c r="B34" s="17"/>
      <c r="C34" s="17"/>
      <c r="D34" s="17"/>
      <c r="E34" s="17"/>
      <c r="F34" s="18" t="s">
        <v>199</v>
      </c>
      <c r="G34" s="18" t="s">
        <v>203</v>
      </c>
      <c r="H34" s="18" t="s">
        <v>207</v>
      </c>
      <c r="I34" s="18" t="s">
        <v>211</v>
      </c>
      <c r="J34" s="18" t="s">
        <v>215</v>
      </c>
      <c r="K34" s="18" t="s">
        <v>207</v>
      </c>
      <c r="L34" s="19" t="s">
        <v>219</v>
      </c>
    </row>
    <row r="35" spans="1:12" ht="15">
      <c r="A35" s="20" t="s">
        <v>187</v>
      </c>
      <c r="B35" s="20" t="s">
        <v>189</v>
      </c>
      <c r="C35" s="21"/>
      <c r="D35" s="20" t="s">
        <v>194</v>
      </c>
      <c r="E35" s="20" t="s">
        <v>197</v>
      </c>
      <c r="F35" s="20" t="s">
        <v>200</v>
      </c>
      <c r="G35" s="20" t="s">
        <v>204</v>
      </c>
      <c r="H35" s="20" t="s">
        <v>208</v>
      </c>
      <c r="I35" s="20" t="s">
        <v>212</v>
      </c>
      <c r="J35" s="20" t="s">
        <v>206</v>
      </c>
      <c r="K35" s="20" t="s">
        <v>216</v>
      </c>
      <c r="L35" s="22" t="s">
        <v>220</v>
      </c>
    </row>
    <row r="36" spans="1:12" ht="15">
      <c r="A36" s="20" t="s">
        <v>188</v>
      </c>
      <c r="B36" s="20" t="s">
        <v>190</v>
      </c>
      <c r="C36" s="20" t="s">
        <v>193</v>
      </c>
      <c r="D36" s="20" t="s">
        <v>195</v>
      </c>
      <c r="E36" s="20" t="s">
        <v>198</v>
      </c>
      <c r="F36" s="20" t="s">
        <v>201</v>
      </c>
      <c r="G36" s="20" t="s">
        <v>205</v>
      </c>
      <c r="H36" s="20" t="s">
        <v>209</v>
      </c>
      <c r="I36" s="20" t="s">
        <v>213</v>
      </c>
      <c r="J36" s="20" t="s">
        <v>213</v>
      </c>
      <c r="K36" s="20" t="s">
        <v>217</v>
      </c>
      <c r="L36" s="22" t="s">
        <v>221</v>
      </c>
    </row>
    <row r="37" spans="1:12" ht="15">
      <c r="A37" s="21"/>
      <c r="B37" s="20" t="s">
        <v>191</v>
      </c>
      <c r="C37" s="21"/>
      <c r="D37" s="20" t="s">
        <v>196</v>
      </c>
      <c r="E37" s="21"/>
      <c r="F37" s="20" t="s">
        <v>202</v>
      </c>
      <c r="G37" s="20" t="s">
        <v>206</v>
      </c>
      <c r="H37" s="20" t="s">
        <v>210</v>
      </c>
      <c r="I37" s="20" t="s">
        <v>214</v>
      </c>
      <c r="J37" s="20" t="s">
        <v>214</v>
      </c>
      <c r="K37" s="20" t="s">
        <v>218</v>
      </c>
      <c r="L37" s="22"/>
    </row>
    <row r="38" spans="1:12" ht="15">
      <c r="A38" s="21"/>
      <c r="B38" s="20" t="s">
        <v>192</v>
      </c>
      <c r="C38" s="21"/>
      <c r="D38" s="21"/>
      <c r="E38" s="21"/>
      <c r="F38" s="21"/>
      <c r="G38" s="20"/>
      <c r="H38" s="20"/>
      <c r="I38" s="20"/>
      <c r="J38" s="20"/>
      <c r="K38" s="20"/>
      <c r="L38" s="22"/>
    </row>
    <row r="39" spans="1:12" ht="15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3">
        <v>11</v>
      </c>
      <c r="L39" s="24">
        <v>12</v>
      </c>
    </row>
    <row r="41" spans="1:12" ht="45">
      <c r="A41" s="27" t="str">
        <f>Source!E24</f>
        <v>1</v>
      </c>
      <c r="B41" s="27" t="str">
        <f>Source!F24</f>
        <v>27-07-002-1</v>
      </c>
      <c r="C41" s="28" t="str">
        <f>Source!G24</f>
        <v>Устройство оснований толщиной 4 см под тротуары из  известнякового щебня</v>
      </c>
      <c r="D41" s="29" t="str">
        <f>Source!H24</f>
        <v>100 м2</v>
      </c>
      <c r="E41" s="13">
        <f>ROUND(Source!I24,6)</f>
        <v>2.727</v>
      </c>
      <c r="F41" s="15">
        <f>IF(Source!AK24&lt;&gt;0,Source!AK24,Source!AL24+Source!AM24+Source!AO24)</f>
        <v>3049.0600000000004</v>
      </c>
      <c r="G41" s="13"/>
      <c r="H41" s="13"/>
      <c r="I41" s="30" t="str">
        <f>IF(Source!BO24&lt;&gt;"",Source!BO24,"")</f>
        <v>27-07-002-1</v>
      </c>
      <c r="J41" s="13"/>
      <c r="K41" s="13"/>
      <c r="L41" s="13"/>
    </row>
    <row r="42" spans="1:12" ht="15">
      <c r="A42" s="13"/>
      <c r="B42" s="13"/>
      <c r="C42" s="13" t="s">
        <v>223</v>
      </c>
      <c r="D42" s="13"/>
      <c r="E42" s="13"/>
      <c r="F42" s="15">
        <f>Source!AO24</f>
        <v>221.99</v>
      </c>
      <c r="G42" s="30">
        <f>Source!DG24</f>
      </c>
      <c r="H42" s="15">
        <f>ROUND((Source!CT24/IF(Source!BA24&lt;&gt;0,Source!BA24,1)*Source!I24),2)</f>
        <v>605.37</v>
      </c>
      <c r="I42" s="13"/>
      <c r="J42" s="13">
        <f>Source!BA24</f>
        <v>17.84</v>
      </c>
      <c r="K42" s="15">
        <f>Source!S24</f>
        <v>10799.74</v>
      </c>
      <c r="L42" s="13"/>
    </row>
    <row r="43" spans="1:12" ht="15">
      <c r="A43" s="13"/>
      <c r="B43" s="13"/>
      <c r="C43" s="13" t="s">
        <v>63</v>
      </c>
      <c r="D43" s="13"/>
      <c r="E43" s="13"/>
      <c r="F43" s="15">
        <f>Source!AM24</f>
        <v>285.27</v>
      </c>
      <c r="G43" s="30">
        <f>Source!DE24</f>
      </c>
      <c r="H43" s="15">
        <f>ROUND((Source!CR24/IF(Source!BB24&lt;&gt;0,Source!BB24,1)*Source!I24),2)</f>
        <v>777.93</v>
      </c>
      <c r="I43" s="13"/>
      <c r="J43" s="13">
        <f>Source!BB24</f>
        <v>5.9</v>
      </c>
      <c r="K43" s="15">
        <f>Source!Q24</f>
        <v>4589.79</v>
      </c>
      <c r="L43" s="13"/>
    </row>
    <row r="44" spans="1:12" ht="15">
      <c r="A44" s="13"/>
      <c r="B44" s="13"/>
      <c r="C44" s="13" t="s">
        <v>224</v>
      </c>
      <c r="D44" s="13"/>
      <c r="E44" s="13"/>
      <c r="F44" s="15">
        <f>Source!AN24</f>
        <v>35</v>
      </c>
      <c r="G44" s="30">
        <f>Source!DF24</f>
      </c>
      <c r="H44" s="32">
        <f>ROUND((Source!CS24/IF(Source!BS24&lt;&gt;0,Source!BS24,1)*Source!I24),2)</f>
        <v>95.45</v>
      </c>
      <c r="I44" s="13"/>
      <c r="J44" s="13">
        <f>Source!BS24</f>
        <v>17.84</v>
      </c>
      <c r="K44" s="32">
        <f>Source!R24</f>
        <v>1702.74</v>
      </c>
      <c r="L44" s="13"/>
    </row>
    <row r="45" spans="1:12" ht="15">
      <c r="A45" s="13"/>
      <c r="B45" s="13"/>
      <c r="C45" s="13" t="s">
        <v>225</v>
      </c>
      <c r="D45" s="13"/>
      <c r="E45" s="13"/>
      <c r="F45" s="15">
        <f>Source!AL24</f>
        <v>2541.8</v>
      </c>
      <c r="G45" s="30">
        <f>Source!DD24</f>
      </c>
      <c r="H45" s="15">
        <f>ROUND((Source!CQ24/IF(Source!BC24&lt;&gt;0,Source!BC24,1)*Source!I24),2)</f>
        <v>6931.49</v>
      </c>
      <c r="I45" s="13"/>
      <c r="J45" s="13">
        <f>Source!BC24</f>
        <v>8.25</v>
      </c>
      <c r="K45" s="15">
        <f>Source!P24</f>
        <v>57184.78</v>
      </c>
      <c r="L45" s="13"/>
    </row>
    <row r="46" spans="1:24" ht="15">
      <c r="A46" s="13"/>
      <c r="B46" s="13"/>
      <c r="C46" s="13" t="s">
        <v>226</v>
      </c>
      <c r="D46" s="16" t="s">
        <v>227</v>
      </c>
      <c r="E46" s="13"/>
      <c r="F46" s="15">
        <f>Source!BZ24</f>
        <v>142</v>
      </c>
      <c r="G46" s="13"/>
      <c r="H46" s="15">
        <f>X46</f>
        <v>995.16</v>
      </c>
      <c r="I46" s="13" t="str">
        <f>Source!FV24</f>
        <v>((*0.85))</v>
      </c>
      <c r="J46" s="15">
        <f>Source!AT24</f>
        <v>121</v>
      </c>
      <c r="K46" s="15">
        <f>Source!X24</f>
        <v>15128</v>
      </c>
      <c r="L46" s="13"/>
      <c r="X46">
        <f>ROUND((Source!FX24/100)*(ROUND((Source!CT24/IF(Source!BA24&lt;&gt;0,Source!BA24,1)*Source!I24),2)+ROUND((Source!CS24/IF(Source!BS24&lt;&gt;0,Source!BS24,1)*Source!I24),2)),2)</f>
        <v>995.16</v>
      </c>
    </row>
    <row r="47" spans="1:25" ht="15">
      <c r="A47" s="13"/>
      <c r="B47" s="13"/>
      <c r="C47" s="13" t="s">
        <v>79</v>
      </c>
      <c r="D47" s="16" t="s">
        <v>227</v>
      </c>
      <c r="E47" s="13"/>
      <c r="F47" s="15">
        <f>Source!CA24</f>
        <v>95</v>
      </c>
      <c r="G47" s="13" t="str">
        <f>Source!FU24</f>
        <v>*0.85</v>
      </c>
      <c r="H47" s="15">
        <f>Y47</f>
        <v>565.91</v>
      </c>
      <c r="I47" s="13" t="str">
        <f>Source!FW24</f>
        <v>((*0.8))</v>
      </c>
      <c r="J47" s="15">
        <f>Source!AU24</f>
        <v>65</v>
      </c>
      <c r="K47" s="15">
        <f>Source!Y24</f>
        <v>8126.61</v>
      </c>
      <c r="L47" s="13"/>
      <c r="Y47">
        <f>ROUND((Source!FY24/100)*(ROUND((Source!CT24/IF(Source!BA24&lt;&gt;0,Source!BA24,1)*Source!I24),2)+ROUND((Source!CS24/IF(Source!BS24&lt;&gt;0,Source!BS24,1)*Source!I24),2)),2)</f>
        <v>565.91</v>
      </c>
    </row>
    <row r="48" spans="1:12" ht="15">
      <c r="A48" s="33"/>
      <c r="B48" s="33"/>
      <c r="C48" s="33" t="s">
        <v>228</v>
      </c>
      <c r="D48" s="34" t="s">
        <v>229</v>
      </c>
      <c r="E48" s="33">
        <f>Source!AQ24</f>
        <v>26.24</v>
      </c>
      <c r="F48" s="33"/>
      <c r="G48" s="35">
        <f>Source!DI24</f>
      </c>
      <c r="H48" s="33"/>
      <c r="I48" s="33"/>
      <c r="J48" s="33"/>
      <c r="K48" s="33"/>
      <c r="L48" s="36">
        <f>Source!U24</f>
        <v>71.55648</v>
      </c>
    </row>
    <row r="49" spans="1:23" ht="15.75">
      <c r="A49" s="13"/>
      <c r="B49" s="13"/>
      <c r="C49" s="13"/>
      <c r="D49" s="13"/>
      <c r="E49" s="13"/>
      <c r="F49" s="13"/>
      <c r="G49" s="13"/>
      <c r="H49" s="37">
        <f>ROUND((Source!CT24/IF(Source!BA24&lt;&gt;0,Source!BA24,1)*Source!I24),2)+ROUND((Source!CR24/IF(Source!BB24&lt;&gt;0,Source!BB24,1)*Source!I24),2)+H45+H46+H47</f>
        <v>9875.859999999999</v>
      </c>
      <c r="I49" s="38"/>
      <c r="J49" s="38"/>
      <c r="K49" s="37">
        <f>Source!S24+Source!Q24+K45+K46+K47</f>
        <v>95828.92</v>
      </c>
      <c r="L49" s="37">
        <f>Source!U24</f>
        <v>71.55648</v>
      </c>
      <c r="M49" s="31">
        <f>H49</f>
        <v>9875.859999999999</v>
      </c>
      <c r="N49">
        <f>ROUND((Source!CT24/IF(Source!BA24&lt;&gt;0,Source!BA24,1)*Source!I24),2)</f>
        <v>605.37</v>
      </c>
      <c r="O49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9875.844748575</v>
      </c>
      <c r="P49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9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9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9">
        <f>IF(Source!BI24=1,Source!O24+Source!X24+Source!Y24,0)</f>
        <v>95828.92</v>
      </c>
      <c r="T49">
        <f>IF(Source!BI24=2,Source!O24+Source!X24+Source!Y24,0)</f>
        <v>0</v>
      </c>
      <c r="U49">
        <f>IF(Source!BI24=3,Source!O24+Source!X24+Source!Y24,0)</f>
        <v>0</v>
      </c>
      <c r="V49">
        <f>IF(Source!BI24=4,Source!O24+Source!X24+Source!Y24,0)</f>
        <v>0</v>
      </c>
      <c r="W49">
        <f>ROUND((Source!CS24/IF(Source!BS24&lt;&gt;0,Source!BS24,1)*Source!I24),2)</f>
        <v>95.45</v>
      </c>
    </row>
    <row r="50" spans="1:12" ht="60">
      <c r="A50" s="27" t="str">
        <f>Source!E25</f>
        <v>2</v>
      </c>
      <c r="B50" s="27" t="str">
        <f>Source!F25</f>
        <v>27-07-002-2</v>
      </c>
      <c r="C50" s="28" t="str">
        <f>Source!G25</f>
        <v>На каждый 1 см изменения толщины оснований добавлять или исключать к расценке 27-07-002-01</v>
      </c>
      <c r="D50" s="29" t="str">
        <f>Source!H25</f>
        <v>100 м2</v>
      </c>
      <c r="E50" s="13">
        <f>ROUND(Source!I25,6)</f>
        <v>2.727</v>
      </c>
      <c r="F50" s="15">
        <f>IF(Source!AK25&lt;&gt;0,Source!AK25,Source!AL25+Source!AM25+Source!AO25)</f>
        <v>233.26</v>
      </c>
      <c r="G50" s="13"/>
      <c r="H50" s="13"/>
      <c r="I50" s="30" t="str">
        <f>IF(Source!BO25&lt;&gt;"",Source!BO25,"")</f>
        <v>27-07-002-2</v>
      </c>
      <c r="J50" s="13"/>
      <c r="K50" s="13"/>
      <c r="L50" s="13"/>
    </row>
    <row r="51" spans="1:12" ht="15">
      <c r="A51" s="13"/>
      <c r="B51" s="13"/>
      <c r="C51" s="13" t="s">
        <v>223</v>
      </c>
      <c r="D51" s="13"/>
      <c r="E51" s="13"/>
      <c r="F51" s="15">
        <f>Source!AO25</f>
        <v>4.57</v>
      </c>
      <c r="G51" s="30" t="str">
        <f>Source!DG25</f>
        <v>*-2</v>
      </c>
      <c r="H51" s="15">
        <f>ROUND((Source!CT25/IF(Source!BA25&lt;&gt;0,Source!BA25,1)*Source!I25),2)</f>
        <v>-24.92</v>
      </c>
      <c r="I51" s="13"/>
      <c r="J51" s="13">
        <f>Source!BA25</f>
        <v>17.84</v>
      </c>
      <c r="K51" s="15">
        <f>Source!S25</f>
        <v>-444.66</v>
      </c>
      <c r="L51" s="13"/>
    </row>
    <row r="52" spans="1:12" ht="15">
      <c r="A52" s="13"/>
      <c r="B52" s="13"/>
      <c r="C52" s="13" t="s">
        <v>63</v>
      </c>
      <c r="D52" s="13"/>
      <c r="E52" s="13"/>
      <c r="F52" s="15">
        <f>Source!AM25</f>
        <v>9.99</v>
      </c>
      <c r="G52" s="30" t="str">
        <f>Source!DE25</f>
        <v>*-2</v>
      </c>
      <c r="H52" s="15">
        <f>ROUND((Source!CR25/IF(Source!BB25&lt;&gt;0,Source!BB25,1)*Source!I25),2)</f>
        <v>-54.49</v>
      </c>
      <c r="I52" s="13"/>
      <c r="J52" s="13">
        <f>Source!BB25</f>
        <v>5.68</v>
      </c>
      <c r="K52" s="15">
        <f>Source!Q25</f>
        <v>-309.48</v>
      </c>
      <c r="L52" s="13"/>
    </row>
    <row r="53" spans="1:12" ht="15">
      <c r="A53" s="13"/>
      <c r="B53" s="13"/>
      <c r="C53" s="13" t="s">
        <v>224</v>
      </c>
      <c r="D53" s="13"/>
      <c r="E53" s="13"/>
      <c r="F53" s="15">
        <f>Source!AN25</f>
        <v>1.01</v>
      </c>
      <c r="G53" s="30" t="str">
        <f>Source!DF25</f>
        <v>*-2</v>
      </c>
      <c r="H53" s="32">
        <f>ROUND((Source!CS25/IF(Source!BS25&lt;&gt;0,Source!BS25,1)*Source!I25),2)</f>
        <v>-5.51</v>
      </c>
      <c r="I53" s="13"/>
      <c r="J53" s="13">
        <f>Source!BS25</f>
        <v>17.84</v>
      </c>
      <c r="K53" s="32">
        <f>Source!R25</f>
        <v>-98.27</v>
      </c>
      <c r="L53" s="13"/>
    </row>
    <row r="54" spans="1:12" ht="15">
      <c r="A54" s="13"/>
      <c r="B54" s="13"/>
      <c r="C54" s="13" t="s">
        <v>225</v>
      </c>
      <c r="D54" s="13"/>
      <c r="E54" s="13"/>
      <c r="F54" s="15">
        <f>Source!AL25</f>
        <v>218.7</v>
      </c>
      <c r="G54" s="30" t="str">
        <f>Source!DD25</f>
        <v>*-2</v>
      </c>
      <c r="H54" s="15">
        <f>ROUND((Source!CQ25/IF(Source!BC25&lt;&gt;0,Source!BC25,1)*Source!I25),2)</f>
        <v>-1192.79</v>
      </c>
      <c r="I54" s="13"/>
      <c r="J54" s="13">
        <f>Source!BC25</f>
        <v>8.25</v>
      </c>
      <c r="K54" s="15">
        <f>Source!P25</f>
        <v>-9840.52</v>
      </c>
      <c r="L54" s="13"/>
    </row>
    <row r="55" spans="1:24" ht="15">
      <c r="A55" s="13"/>
      <c r="B55" s="13"/>
      <c r="C55" s="13" t="s">
        <v>226</v>
      </c>
      <c r="D55" s="16" t="s">
        <v>227</v>
      </c>
      <c r="E55" s="13"/>
      <c r="F55" s="15">
        <f>Source!BZ25</f>
        <v>142</v>
      </c>
      <c r="G55" s="13"/>
      <c r="H55" s="15">
        <f>X55</f>
        <v>-43.21</v>
      </c>
      <c r="I55" s="13" t="str">
        <f>Source!FV25</f>
        <v>((*0.85))</v>
      </c>
      <c r="J55" s="15">
        <f>Source!AT25</f>
        <v>121</v>
      </c>
      <c r="K55" s="15">
        <f>Source!X25</f>
        <v>-656.95</v>
      </c>
      <c r="L55" s="13"/>
      <c r="X55">
        <f>ROUND((Source!FX25/100)*(ROUND((Source!CT25/IF(Source!BA25&lt;&gt;0,Source!BA25,1)*Source!I25),2)+ROUND((Source!CS25/IF(Source!BS25&lt;&gt;0,Source!BS25,1)*Source!I25),2)),2)</f>
        <v>-43.21</v>
      </c>
    </row>
    <row r="56" spans="1:25" ht="15">
      <c r="A56" s="13"/>
      <c r="B56" s="13"/>
      <c r="C56" s="13" t="s">
        <v>79</v>
      </c>
      <c r="D56" s="16" t="s">
        <v>227</v>
      </c>
      <c r="E56" s="13"/>
      <c r="F56" s="15">
        <f>Source!CA25</f>
        <v>95</v>
      </c>
      <c r="G56" s="13" t="str">
        <f>Source!FU25</f>
        <v>*0.85</v>
      </c>
      <c r="H56" s="15">
        <f>Y56</f>
        <v>-24.57</v>
      </c>
      <c r="I56" s="13" t="str">
        <f>Source!FW25</f>
        <v>((*0.8))</v>
      </c>
      <c r="J56" s="15">
        <f>Source!AU25</f>
        <v>65</v>
      </c>
      <c r="K56" s="15">
        <f>Source!Y25</f>
        <v>-352.9</v>
      </c>
      <c r="L56" s="13"/>
      <c r="Y56">
        <f>ROUND((Source!FY25/100)*(ROUND((Source!CT25/IF(Source!BA25&lt;&gt;0,Source!BA25,1)*Source!I25),2)+ROUND((Source!CS25/IF(Source!BS25&lt;&gt;0,Source!BS25,1)*Source!I25),2)),2)</f>
        <v>-24.57</v>
      </c>
    </row>
    <row r="57" spans="1:12" ht="15">
      <c r="A57" s="33"/>
      <c r="B57" s="33"/>
      <c r="C57" s="33" t="s">
        <v>228</v>
      </c>
      <c r="D57" s="34" t="s">
        <v>229</v>
      </c>
      <c r="E57" s="33">
        <f>Source!AQ25</f>
        <v>0.54</v>
      </c>
      <c r="F57" s="33"/>
      <c r="G57" s="35" t="str">
        <f>Source!DI25</f>
        <v>*-2</v>
      </c>
      <c r="H57" s="33"/>
      <c r="I57" s="33"/>
      <c r="J57" s="33"/>
      <c r="K57" s="33"/>
      <c r="L57" s="36">
        <f>Source!U25</f>
        <v>-2.94516</v>
      </c>
    </row>
    <row r="58" spans="1:23" ht="15.75">
      <c r="A58" s="13"/>
      <c r="B58" s="13"/>
      <c r="C58" s="13"/>
      <c r="D58" s="13"/>
      <c r="E58" s="13"/>
      <c r="F58" s="13"/>
      <c r="G58" s="13"/>
      <c r="H58" s="37">
        <f>ROUND((Source!CT25/IF(Source!BA25&lt;&gt;0,Source!BA25,1)*Source!I25),2)+ROUND((Source!CR25/IF(Source!BB25&lt;&gt;0,Source!BB25,1)*Source!I25),2)+H54+H55+H56</f>
        <v>-1339.98</v>
      </c>
      <c r="I58" s="38"/>
      <c r="J58" s="38"/>
      <c r="K58" s="37">
        <f>Source!S25+Source!Q25+K54+K55+K56</f>
        <v>-11604.51</v>
      </c>
      <c r="L58" s="37">
        <f>Source!U25</f>
        <v>-2.94516</v>
      </c>
      <c r="M58" s="31">
        <f>H58</f>
        <v>-1339.98</v>
      </c>
      <c r="N58">
        <f>ROUND((Source!CT25/IF(Source!BA25&lt;&gt;0,Source!BA25,1)*Source!I25),2)</f>
        <v>-24.92</v>
      </c>
      <c r="O58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-1339.9902602999996</v>
      </c>
      <c r="P58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58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58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58">
        <f>IF(Source!BI25=1,Source!O25+Source!X25+Source!Y25,0)</f>
        <v>-11604.51</v>
      </c>
      <c r="T58">
        <f>IF(Source!BI25=2,Source!O25+Source!X25+Source!Y25,0)</f>
        <v>0</v>
      </c>
      <c r="U58">
        <f>IF(Source!BI25=3,Source!O25+Source!X25+Source!Y25,0)</f>
        <v>0</v>
      </c>
      <c r="V58">
        <f>IF(Source!BI25=4,Source!O25+Source!X25+Source!Y25,0)</f>
        <v>0</v>
      </c>
      <c r="W58">
        <f>ROUND((Source!CS25/IF(Source!BS25&lt;&gt;0,Source!BS25,1)*Source!I25),2)</f>
        <v>-5.51</v>
      </c>
    </row>
    <row r="59" spans="1:12" ht="90">
      <c r="A59" s="27" t="str">
        <f>Source!E26</f>
        <v>3</v>
      </c>
      <c r="B59" s="27" t="str">
        <f>Source!F26</f>
        <v>27-07-001-1</v>
      </c>
      <c r="C59" s="28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59" s="29" t="str">
        <f>Source!H26</f>
        <v>100 м2</v>
      </c>
      <c r="E59" s="13">
        <f>ROUND(Source!I26,6)</f>
        <v>4.546</v>
      </c>
      <c r="F59" s="15">
        <f>IF(Source!AK26&lt;&gt;0,Source!AK26,Source!AL26+Source!AM26+Source!AO26)</f>
        <v>3566.81</v>
      </c>
      <c r="G59" s="13"/>
      <c r="H59" s="13"/>
      <c r="I59" s="30" t="str">
        <f>IF(Source!BO26&lt;&gt;"",Source!BO26,"")</f>
        <v>27-07-001-1</v>
      </c>
      <c r="J59" s="13"/>
      <c r="K59" s="13"/>
      <c r="L59" s="13"/>
    </row>
    <row r="60" spans="1:12" ht="15">
      <c r="A60" s="13"/>
      <c r="B60" s="13"/>
      <c r="C60" s="13" t="s">
        <v>223</v>
      </c>
      <c r="D60" s="13"/>
      <c r="E60" s="13"/>
      <c r="F60" s="15">
        <f>Source!AO26</f>
        <v>140.46</v>
      </c>
      <c r="G60" s="30">
        <f>Source!DG26</f>
      </c>
      <c r="H60" s="15">
        <f>ROUND((Source!CT26/IF(Source!BA26&lt;&gt;0,Source!BA26,1)*Source!I26),2)</f>
        <v>638.53</v>
      </c>
      <c r="I60" s="13"/>
      <c r="J60" s="13">
        <f>Source!BA26</f>
        <v>17.84</v>
      </c>
      <c r="K60" s="15">
        <f>Source!S26</f>
        <v>11391.4</v>
      </c>
      <c r="L60" s="13"/>
    </row>
    <row r="61" spans="1:12" ht="15">
      <c r="A61" s="13"/>
      <c r="B61" s="13"/>
      <c r="C61" s="13" t="s">
        <v>63</v>
      </c>
      <c r="D61" s="13"/>
      <c r="E61" s="13"/>
      <c r="F61" s="15">
        <f>Source!AM26</f>
        <v>57.98</v>
      </c>
      <c r="G61" s="30">
        <f>Source!DE26</f>
      </c>
      <c r="H61" s="15">
        <f>ROUND((Source!CR26/IF(Source!BB26&lt;&gt;0,Source!BB26,1)*Source!I26),2)</f>
        <v>263.58</v>
      </c>
      <c r="I61" s="13"/>
      <c r="J61" s="13">
        <f>Source!BB26</f>
        <v>5.25</v>
      </c>
      <c r="K61" s="15">
        <f>Source!Q26</f>
        <v>1383.78</v>
      </c>
      <c r="L61" s="13"/>
    </row>
    <row r="62" spans="1:12" ht="15">
      <c r="A62" s="13"/>
      <c r="B62" s="13"/>
      <c r="C62" s="13" t="s">
        <v>224</v>
      </c>
      <c r="D62" s="13"/>
      <c r="E62" s="13"/>
      <c r="F62" s="15">
        <f>Source!AN26</f>
        <v>0.57</v>
      </c>
      <c r="G62" s="30">
        <f>Source!DF26</f>
      </c>
      <c r="H62" s="32">
        <f>ROUND((Source!CS26/IF(Source!BS26&lt;&gt;0,Source!BS26,1)*Source!I26),2)</f>
        <v>2.59</v>
      </c>
      <c r="I62" s="13"/>
      <c r="J62" s="13">
        <f>Source!BS26</f>
        <v>17.84</v>
      </c>
      <c r="K62" s="32">
        <f>Source!R26</f>
        <v>46.23</v>
      </c>
      <c r="L62" s="13"/>
    </row>
    <row r="63" spans="1:12" ht="15">
      <c r="A63" s="13"/>
      <c r="B63" s="13"/>
      <c r="C63" s="13" t="s">
        <v>225</v>
      </c>
      <c r="D63" s="13"/>
      <c r="E63" s="13"/>
      <c r="F63" s="15">
        <f>Source!AL26</f>
        <v>3368.37</v>
      </c>
      <c r="G63" s="30">
        <f>Source!DD26</f>
      </c>
      <c r="H63" s="15">
        <f>ROUND((Source!CQ26/IF(Source!BC26&lt;&gt;0,Source!BC26,1)*Source!I26),2)</f>
        <v>15312.61</v>
      </c>
      <c r="I63" s="13"/>
      <c r="J63" s="13">
        <f>Source!BC26</f>
        <v>7.59</v>
      </c>
      <c r="K63" s="15">
        <f>Source!P26</f>
        <v>116222.71</v>
      </c>
      <c r="L63" s="13"/>
    </row>
    <row r="64" spans="1:24" ht="15">
      <c r="A64" s="13"/>
      <c r="B64" s="13"/>
      <c r="C64" s="13" t="s">
        <v>226</v>
      </c>
      <c r="D64" s="16" t="s">
        <v>227</v>
      </c>
      <c r="E64" s="13"/>
      <c r="F64" s="15">
        <f>Source!BZ26</f>
        <v>142</v>
      </c>
      <c r="G64" s="13"/>
      <c r="H64" s="15">
        <f>X64+X67</f>
        <v>910.39</v>
      </c>
      <c r="I64" s="13" t="str">
        <f>Source!FV26</f>
        <v>((*0.85))</v>
      </c>
      <c r="J64" s="15">
        <f>Source!AT26</f>
        <v>121</v>
      </c>
      <c r="K64" s="15">
        <f>Source!X26+Source!X27</f>
        <v>13839.53</v>
      </c>
      <c r="L64" s="13"/>
      <c r="X64">
        <f>ROUND((Source!FX26/100)*(ROUND((Source!CT26/IF(Source!BA26&lt;&gt;0,Source!BA26,1)*Source!I26),2)+ROUND((Source!CS26/IF(Source!BS26&lt;&gt;0,Source!BS26,1)*Source!I26),2)),2)</f>
        <v>910.39</v>
      </c>
    </row>
    <row r="65" spans="1:25" ht="15">
      <c r="A65" s="13"/>
      <c r="B65" s="13"/>
      <c r="C65" s="13" t="s">
        <v>79</v>
      </c>
      <c r="D65" s="16" t="s">
        <v>227</v>
      </c>
      <c r="E65" s="13"/>
      <c r="F65" s="15">
        <f>Source!CA26</f>
        <v>95</v>
      </c>
      <c r="G65" s="13" t="str">
        <f>Source!FU26</f>
        <v>*0.85</v>
      </c>
      <c r="H65" s="15">
        <f>Y65+Y67</f>
        <v>517.7</v>
      </c>
      <c r="I65" s="13" t="str">
        <f>Source!FW26</f>
        <v>((*0.8))</v>
      </c>
      <c r="J65" s="15">
        <f>Source!AU26</f>
        <v>65</v>
      </c>
      <c r="K65" s="15">
        <f>Source!Y26+Source!Y27</f>
        <v>7434.46</v>
      </c>
      <c r="L65" s="13"/>
      <c r="Y65">
        <f>ROUND((Source!FY26/100)*(ROUND((Source!CT26/IF(Source!BA26&lt;&gt;0,Source!BA26,1)*Source!I26),2)+ROUND((Source!CS26/IF(Source!BS26&lt;&gt;0,Source!BS26,1)*Source!I26),2)),2)</f>
        <v>517.7</v>
      </c>
    </row>
    <row r="66" spans="1:12" ht="15">
      <c r="A66" s="13"/>
      <c r="B66" s="13"/>
      <c r="C66" s="13" t="s">
        <v>228</v>
      </c>
      <c r="D66" s="16" t="s">
        <v>229</v>
      </c>
      <c r="E66" s="13">
        <f>Source!AQ26</f>
        <v>15.12</v>
      </c>
      <c r="F66" s="13"/>
      <c r="G66" s="30">
        <f>Source!DI26</f>
      </c>
      <c r="H66" s="13"/>
      <c r="I66" s="13"/>
      <c r="J66" s="13"/>
      <c r="K66" s="13"/>
      <c r="L66" s="15">
        <f>Source!U26</f>
        <v>68.73552</v>
      </c>
    </row>
    <row r="67" spans="1:25" ht="30">
      <c r="A67" s="39"/>
      <c r="B67" s="39" t="str">
        <f>Source!F27</f>
        <v>410-0054</v>
      </c>
      <c r="C67" s="40" t="str">
        <f>Source!G27</f>
        <v>Асфальт литой для покрытий тротуаров тип II (жесткий)</v>
      </c>
      <c r="D67" s="41" t="str">
        <f>Source!H27</f>
        <v>т</v>
      </c>
      <c r="E67" s="33">
        <f>ROUND(Source!I27,6)</f>
        <v>-32.45844</v>
      </c>
      <c r="F67" s="36">
        <f>IF(Source!AL27=0,Source!AK27,Source!AL27)</f>
        <v>455.39</v>
      </c>
      <c r="G67" s="35">
        <f>Source!DD27</f>
      </c>
      <c r="H67" s="42">
        <f>ROUND((Source!CR27/IF(Source!BB27&lt;&gt;0,Source!BB27,1)*Source!I27),2)+ROUND((Source!CQ27/IF(Source!BC27&lt;&gt;0,Source!BC27,1)*Source!I27),2)+ROUND((Source!CT27/IF(Source!BA27&lt;&gt;0,Source!BA27,1)*Source!I27),2)</f>
        <v>-14781.25</v>
      </c>
      <c r="I67" s="35" t="str">
        <f>IF(Source!BO27&lt;&gt;"",Source!BO27,"")</f>
        <v>410-0054</v>
      </c>
      <c r="J67" s="33">
        <f>Source!BC27</f>
        <v>7.61</v>
      </c>
      <c r="K67" s="36">
        <f>Source!O27</f>
        <v>-112485.3</v>
      </c>
      <c r="L67" s="33"/>
      <c r="N67">
        <f>ROUND((Source!CT27/IF(Source!BA27&lt;&gt;0,Source!BA27,1)*Source!I27),2)</f>
        <v>0</v>
      </c>
      <c r="O67">
        <f>IF(Source!BI27=1,(ROUND((Source!CR27/IF(Source!BB27&lt;&gt;0,Source!BB27,1)*Source!I27),2)+ROUND((Source!CQ27/IF(Source!BC27&lt;&gt;0,Source!BC27,1)*Source!I27),2)+ROUND((Source!CT27/IF(Source!BA27&lt;&gt;0,Source!BA27,1)*Source!I27),2)),0)</f>
        <v>-14781.25</v>
      </c>
      <c r="P67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67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67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67">
        <f>IF(Source!BI27=1,Source!O27+Source!X27+Source!Y27,0)</f>
        <v>-112485.3</v>
      </c>
      <c r="T67">
        <f>IF(Source!BI27=2,Source!O27+Source!X27+Source!Y27,0)</f>
        <v>0</v>
      </c>
      <c r="U67">
        <f>IF(Source!BI27=3,Source!O27+Source!X27+Source!Y27,0)</f>
        <v>0</v>
      </c>
      <c r="V67">
        <f>IF(Source!BI27=4,Source!O27+Source!X27+Source!Y27,0)</f>
        <v>0</v>
      </c>
      <c r="W67">
        <f>ROUND((Source!CS27/IF(Source!BS27&lt;&gt;0,Source!BS27,1)*Source!I27),2)</f>
        <v>0</v>
      </c>
      <c r="X67">
        <f>ROUND((Source!FX27/100)*(ROUND((Source!CT27/IF(Source!BA27&lt;&gt;0,Source!BA27,1)*Source!I27),2)+ROUND((Source!CS27/IF(Source!BS27&lt;&gt;0,Source!BS27,1)*Source!I27),2)),2)</f>
        <v>0</v>
      </c>
      <c r="Y67">
        <f>ROUND((Source!FY27/100)*(ROUND((Source!CT27/IF(Source!BA27&lt;&gt;0,Source!BA27,1)*Source!I27),2)+ROUND((Source!CS27/IF(Source!BS27&lt;&gt;0,Source!BS27,1)*Source!I27),2)),2)</f>
        <v>0</v>
      </c>
    </row>
    <row r="68" spans="1:23" ht="15.75">
      <c r="A68" s="13"/>
      <c r="B68" s="13"/>
      <c r="C68" s="13"/>
      <c r="D68" s="13"/>
      <c r="E68" s="13"/>
      <c r="F68" s="13"/>
      <c r="G68" s="13"/>
      <c r="H68" s="37">
        <f>ROUND((Source!CT26/IF(Source!BA26&lt;&gt;0,Source!BA26,1)*Source!I26),2)+ROUND((Source!CR26/IF(Source!BB26&lt;&gt;0,Source!BB26,1)*Source!I26),2)+H63+H64+H65+H67</f>
        <v>2861.5600000000013</v>
      </c>
      <c r="I68" s="38"/>
      <c r="J68" s="38"/>
      <c r="K68" s="37">
        <f>Source!S26+Source!Q26+K63+K64+K65+K67</f>
        <v>37786.58</v>
      </c>
      <c r="L68" s="37">
        <f>Source!U26</f>
        <v>68.73552</v>
      </c>
      <c r="M68" s="31">
        <f>H68</f>
        <v>2861.5600000000013</v>
      </c>
      <c r="N68">
        <f>ROUND((Source!CT26/IF(Source!BA26&lt;&gt;0,Source!BA26,1)*Source!I26),2)</f>
        <v>638.53</v>
      </c>
      <c r="O68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17642.81836145</v>
      </c>
      <c r="P68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68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68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68">
        <f>IF(Source!BI26=1,Source!O26+Source!X26+Source!Y26,0)</f>
        <v>150271.88</v>
      </c>
      <c r="T68">
        <f>IF(Source!BI26=2,Source!O26+Source!X26+Source!Y26,0)</f>
        <v>0</v>
      </c>
      <c r="U68">
        <f>IF(Source!BI26=3,Source!O26+Source!X26+Source!Y26,0)</f>
        <v>0</v>
      </c>
      <c r="V68">
        <f>IF(Source!BI26=4,Source!O26+Source!X26+Source!Y26,0)</f>
        <v>0</v>
      </c>
      <c r="W68">
        <f>ROUND((Source!CS26/IF(Source!BS26&lt;&gt;0,Source!BS26,1)*Source!I26),2)</f>
        <v>2.59</v>
      </c>
    </row>
    <row r="69" spans="1:12" ht="105">
      <c r="A69" s="27" t="str">
        <f>Source!E28</f>
        <v>4</v>
      </c>
      <c r="B69" s="27" t="str">
        <f>Source!F28</f>
        <v>410-0013</v>
      </c>
      <c r="C69" s="28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69" s="29" t="str">
        <f>Source!H28</f>
        <v>т</v>
      </c>
      <c r="E69" s="13">
        <f>ROUND(Source!I28,6)</f>
        <v>32.4584</v>
      </c>
      <c r="F69" s="15">
        <f>IF(Source!AK28&lt;&gt;0,Source!AK28,Source!AL28+Source!AM28+Source!AO28)</f>
        <v>416.05</v>
      </c>
      <c r="G69" s="13"/>
      <c r="H69" s="13"/>
      <c r="I69" s="30" t="str">
        <f>IF(Source!BO28&lt;&gt;"",Source!BO28,"")</f>
        <v>410-0013</v>
      </c>
      <c r="J69" s="13"/>
      <c r="K69" s="13"/>
      <c r="L69" s="13"/>
    </row>
    <row r="70" spans="1:12" ht="15">
      <c r="A70" s="33"/>
      <c r="B70" s="33"/>
      <c r="C70" s="33" t="s">
        <v>225</v>
      </c>
      <c r="D70" s="33"/>
      <c r="E70" s="33"/>
      <c r="F70" s="36">
        <f>Source!AL28</f>
        <v>416.05</v>
      </c>
      <c r="G70" s="35">
        <f>Source!DD28</f>
      </c>
      <c r="H70" s="36">
        <f>ROUND((Source!CQ28/IF(Source!BC28&lt;&gt;0,Source!BC28,1)*Source!I28),2)</f>
        <v>13504.32</v>
      </c>
      <c r="I70" s="33"/>
      <c r="J70" s="33">
        <f>Source!BC28</f>
        <v>5.6</v>
      </c>
      <c r="K70" s="36">
        <f>Source!P28</f>
        <v>75624.18</v>
      </c>
      <c r="L70" s="33"/>
    </row>
    <row r="71" spans="1:23" ht="15.75">
      <c r="A71" s="13"/>
      <c r="B71" s="13"/>
      <c r="C71" s="13"/>
      <c r="D71" s="13"/>
      <c r="E71" s="13"/>
      <c r="F71" s="13"/>
      <c r="G71" s="13"/>
      <c r="H71" s="37">
        <f>ROUND((Source!CT28/IF(Source!BA28&lt;&gt;0,Source!BA28,1)*Source!I28),2)+ROUND((Source!CR28/IF(Source!BB28&lt;&gt;0,Source!BB28,1)*Source!I28),2)+H70</f>
        <v>13504.32</v>
      </c>
      <c r="I71" s="38"/>
      <c r="J71" s="38"/>
      <c r="K71" s="37">
        <f>Source!S28+Source!Q28+K70</f>
        <v>75624.18</v>
      </c>
      <c r="L71" s="37">
        <f>Source!U28</f>
        <v>0</v>
      </c>
      <c r="M71" s="31">
        <f>H71</f>
        <v>13504.32</v>
      </c>
      <c r="N71">
        <f>ROUND((Source!CT28/IF(Source!BA28&lt;&gt;0,Source!BA28,1)*Source!I28),2)</f>
        <v>0</v>
      </c>
      <c r="O71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13504.317320000002</v>
      </c>
      <c r="P71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71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71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71">
        <f>IF(Source!BI28=1,Source!O28+Source!X28+Source!Y28,0)</f>
        <v>75624.18</v>
      </c>
      <c r="T71">
        <f>IF(Source!BI28=2,Source!O28+Source!X28+Source!Y28,0)</f>
        <v>0</v>
      </c>
      <c r="U71">
        <f>IF(Source!BI28=3,Source!O28+Source!X28+Source!Y28,0)</f>
        <v>0</v>
      </c>
      <c r="V71">
        <f>IF(Source!BI28=4,Source!O28+Source!X28+Source!Y28,0)</f>
        <v>0</v>
      </c>
      <c r="W71">
        <f>ROUND((Source!CS28/IF(Source!BS28&lt;&gt;0,Source!BS28,1)*Source!I28),2)</f>
        <v>0</v>
      </c>
    </row>
    <row r="72" spans="1:12" ht="45">
      <c r="A72" s="27" t="str">
        <f>Source!E29</f>
        <v>5</v>
      </c>
      <c r="B72" s="27" t="str">
        <f>Source!F29</f>
        <v>27-07-001-2</v>
      </c>
      <c r="C72" s="28" t="str">
        <f>Source!G29</f>
        <v>На каждые 0,5 см изменения толщины покрытия добавлять к расценке 27-07-001-01</v>
      </c>
      <c r="D72" s="29" t="str">
        <f>Source!H29</f>
        <v>100 м2</v>
      </c>
      <c r="E72" s="13">
        <f>ROUND(Source!I29,6)</f>
        <v>4.546</v>
      </c>
      <c r="F72" s="15">
        <f>IF(Source!AK29&lt;&gt;0,Source!AK29,Source!AL29+Source!AM29+Source!AO29)</f>
        <v>580.9699999999999</v>
      </c>
      <c r="G72" s="13"/>
      <c r="H72" s="13"/>
      <c r="I72" s="30" t="str">
        <f>IF(Source!BO29&lt;&gt;"",Source!BO29,"")</f>
        <v>27-07-001-2</v>
      </c>
      <c r="J72" s="13"/>
      <c r="K72" s="13"/>
      <c r="L72" s="13"/>
    </row>
    <row r="73" spans="1:12" ht="15">
      <c r="A73" s="13"/>
      <c r="B73" s="13"/>
      <c r="C73" s="13" t="s">
        <v>223</v>
      </c>
      <c r="D73" s="13"/>
      <c r="E73" s="13"/>
      <c r="F73" s="15">
        <f>Source!AO29</f>
        <v>21.55</v>
      </c>
      <c r="G73" s="30" t="str">
        <f>Source!DG29</f>
        <v>*4</v>
      </c>
      <c r="H73" s="15">
        <f>ROUND((Source!CT29/IF(Source!BA29&lt;&gt;0,Source!BA29,1)*Source!I29),2)</f>
        <v>391.87</v>
      </c>
      <c r="I73" s="13"/>
      <c r="J73" s="13">
        <f>Source!BA29</f>
        <v>17.84</v>
      </c>
      <c r="K73" s="15">
        <f>Source!S29</f>
        <v>6990.88</v>
      </c>
      <c r="L73" s="13"/>
    </row>
    <row r="74" spans="1:12" ht="15">
      <c r="A74" s="13"/>
      <c r="B74" s="13"/>
      <c r="C74" s="13" t="s">
        <v>63</v>
      </c>
      <c r="D74" s="13"/>
      <c r="E74" s="13"/>
      <c r="F74" s="15">
        <f>Source!AM29</f>
        <v>8.4</v>
      </c>
      <c r="G74" s="30" t="str">
        <f>Source!DE29</f>
        <v>*4</v>
      </c>
      <c r="H74" s="15">
        <f>ROUND((Source!CR29/IF(Source!BB29&lt;&gt;0,Source!BB29,1)*Source!I29),2)</f>
        <v>152.75</v>
      </c>
      <c r="I74" s="13"/>
      <c r="J74" s="13">
        <f>Source!BB29</f>
        <v>5.07</v>
      </c>
      <c r="K74" s="15">
        <f>Source!Q29</f>
        <v>774.42</v>
      </c>
      <c r="L74" s="13"/>
    </row>
    <row r="75" spans="1:12" ht="15">
      <c r="A75" s="13"/>
      <c r="B75" s="13"/>
      <c r="C75" s="13" t="s">
        <v>225</v>
      </c>
      <c r="D75" s="13"/>
      <c r="E75" s="13"/>
      <c r="F75" s="15">
        <f>Source!AL29</f>
        <v>551.02</v>
      </c>
      <c r="G75" s="30" t="str">
        <f>Source!DD29</f>
        <v>*4</v>
      </c>
      <c r="H75" s="15">
        <f>ROUND((Source!CQ29/IF(Source!BC29&lt;&gt;0,Source!BC29,1)*Source!I29),2)</f>
        <v>10019.75</v>
      </c>
      <c r="I75" s="13"/>
      <c r="J75" s="13">
        <f>Source!BC29</f>
        <v>7.61</v>
      </c>
      <c r="K75" s="15">
        <f>Source!P29</f>
        <v>76250.28</v>
      </c>
      <c r="L75" s="13"/>
    </row>
    <row r="76" spans="1:24" ht="15">
      <c r="A76" s="13"/>
      <c r="B76" s="13"/>
      <c r="C76" s="13" t="s">
        <v>226</v>
      </c>
      <c r="D76" s="16" t="s">
        <v>227</v>
      </c>
      <c r="E76" s="13"/>
      <c r="F76" s="15">
        <f>Source!BZ29</f>
        <v>142</v>
      </c>
      <c r="G76" s="13"/>
      <c r="H76" s="15">
        <f>X76+X79</f>
        <v>556.46</v>
      </c>
      <c r="I76" s="13" t="str">
        <f>Source!FV29</f>
        <v>((*0.85))</v>
      </c>
      <c r="J76" s="15">
        <f>Source!AT29</f>
        <v>121</v>
      </c>
      <c r="K76" s="15">
        <f>Source!X29+Source!X30</f>
        <v>8458.96</v>
      </c>
      <c r="L76" s="13"/>
      <c r="X76">
        <f>ROUND((Source!FX29/100)*(ROUND((Source!CT29/IF(Source!BA29&lt;&gt;0,Source!BA29,1)*Source!I29),2)+ROUND((Source!CS29/IF(Source!BS29&lt;&gt;0,Source!BS29,1)*Source!I29),2)),2)</f>
        <v>556.46</v>
      </c>
    </row>
    <row r="77" spans="1:25" ht="15">
      <c r="A77" s="13"/>
      <c r="B77" s="13"/>
      <c r="C77" s="13" t="s">
        <v>79</v>
      </c>
      <c r="D77" s="16" t="s">
        <v>227</v>
      </c>
      <c r="E77" s="13"/>
      <c r="F77" s="15">
        <f>Source!CA29</f>
        <v>95</v>
      </c>
      <c r="G77" s="13" t="str">
        <f>Source!FU29</f>
        <v>*0.85</v>
      </c>
      <c r="H77" s="15">
        <f>Y77+Y79</f>
        <v>316.44</v>
      </c>
      <c r="I77" s="13" t="str">
        <f>Source!FW29</f>
        <v>((*0.8))</v>
      </c>
      <c r="J77" s="15">
        <f>Source!AU29</f>
        <v>65</v>
      </c>
      <c r="K77" s="15">
        <f>Source!Y29+Source!Y30</f>
        <v>4544.07</v>
      </c>
      <c r="L77" s="13"/>
      <c r="Y77">
        <f>ROUND((Source!FY29/100)*(ROUND((Source!CT29/IF(Source!BA29&lt;&gt;0,Source!BA29,1)*Source!I29),2)+ROUND((Source!CS29/IF(Source!BS29&lt;&gt;0,Source!BS29,1)*Source!I29),2)),2)</f>
        <v>316.44</v>
      </c>
    </row>
    <row r="78" spans="1:12" ht="15">
      <c r="A78" s="13"/>
      <c r="B78" s="13"/>
      <c r="C78" s="13" t="s">
        <v>228</v>
      </c>
      <c r="D78" s="16" t="s">
        <v>229</v>
      </c>
      <c r="E78" s="13">
        <f>Source!AQ29</f>
        <v>2.32</v>
      </c>
      <c r="F78" s="13"/>
      <c r="G78" s="30" t="str">
        <f>Source!DI29</f>
        <v>*4</v>
      </c>
      <c r="H78" s="13"/>
      <c r="I78" s="13"/>
      <c r="J78" s="13"/>
      <c r="K78" s="13"/>
      <c r="L78" s="15">
        <f>Source!U29</f>
        <v>42.18688</v>
      </c>
    </row>
    <row r="79" spans="1:25" ht="30">
      <c r="A79" s="39"/>
      <c r="B79" s="39" t="str">
        <f>Source!F30</f>
        <v>410-0054</v>
      </c>
      <c r="C79" s="40" t="str">
        <f>Source!G30</f>
        <v>Асфальт литой для покрытий тротуаров тип II (жесткий)</v>
      </c>
      <c r="D79" s="41" t="str">
        <f>Source!H30</f>
        <v>т</v>
      </c>
      <c r="E79" s="33">
        <f>ROUND(Source!I30,6)</f>
        <v>-5.50066</v>
      </c>
      <c r="F79" s="36">
        <f>IF(Source!AL30=0,Source!AK30,Source!AL30)</f>
        <v>455.39</v>
      </c>
      <c r="G79" s="35" t="str">
        <f>Source!DD30</f>
        <v>*4</v>
      </c>
      <c r="H79" s="42">
        <f>ROUND((Source!CR30/IF(Source!BB30&lt;&gt;0,Source!BB30,1)*Source!I30),2)+ROUND((Source!CQ30/IF(Source!BC30&lt;&gt;0,Source!BC30,1)*Source!I30),2)+ROUND((Source!CT30/IF(Source!BA30&lt;&gt;0,Source!BA30,1)*Source!I30),2)</f>
        <v>-10019.78</v>
      </c>
      <c r="I79" s="35" t="str">
        <f>IF(Source!BO30&lt;&gt;"",Source!BO30,"")</f>
        <v>410-0054</v>
      </c>
      <c r="J79" s="33">
        <f>Source!BC30</f>
        <v>7.61</v>
      </c>
      <c r="K79" s="36">
        <f>Source!O30</f>
        <v>-76250.54</v>
      </c>
      <c r="L79" s="33"/>
      <c r="N79">
        <f>ROUND((Source!CT30/IF(Source!BA30&lt;&gt;0,Source!BA30,1)*Source!I30),2)</f>
        <v>0</v>
      </c>
      <c r="O79">
        <f>IF(Source!BI30=1,(ROUND((Source!CR30/IF(Source!BB30&lt;&gt;0,Source!BB30,1)*Source!I30),2)+ROUND((Source!CQ30/IF(Source!BC30&lt;&gt;0,Source!BC30,1)*Source!I30),2)+ROUND((Source!CT30/IF(Source!BA30&lt;&gt;0,Source!BA30,1)*Source!I30),2)),0)</f>
        <v>-10019.78</v>
      </c>
      <c r="P79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79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79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79">
        <f>IF(Source!BI30=1,Source!O30+Source!X30+Source!Y30,0)</f>
        <v>-76250.54</v>
      </c>
      <c r="T79">
        <f>IF(Source!BI30=2,Source!O30+Source!X30+Source!Y30,0)</f>
        <v>0</v>
      </c>
      <c r="U79">
        <f>IF(Source!BI30=3,Source!O30+Source!X30+Source!Y30,0)</f>
        <v>0</v>
      </c>
      <c r="V79">
        <f>IF(Source!BI30=4,Source!O30+Source!X30+Source!Y30,0)</f>
        <v>0</v>
      </c>
      <c r="W79">
        <f>ROUND((Source!CS30/IF(Source!BS30&lt;&gt;0,Source!BS30,1)*Source!I30),2)</f>
        <v>0</v>
      </c>
      <c r="X79">
        <f>ROUND((Source!FX30/100)*(ROUND((Source!CT30/IF(Source!BA30&lt;&gt;0,Source!BA30,1)*Source!I30),2)+ROUND((Source!CS30/IF(Source!BS30&lt;&gt;0,Source!BS30,1)*Source!I30),2)),2)</f>
        <v>0</v>
      </c>
      <c r="Y79">
        <f>ROUND((Source!FY30/100)*(ROUND((Source!CT30/IF(Source!BA30&lt;&gt;0,Source!BA30,1)*Source!I30),2)+ROUND((Source!CS30/IF(Source!BS30&lt;&gt;0,Source!BS30,1)*Source!I30),2)),2)</f>
        <v>0</v>
      </c>
    </row>
    <row r="80" spans="1:23" ht="15.75">
      <c r="A80" s="13"/>
      <c r="B80" s="13"/>
      <c r="C80" s="13"/>
      <c r="D80" s="13"/>
      <c r="E80" s="13"/>
      <c r="F80" s="13"/>
      <c r="G80" s="13"/>
      <c r="H80" s="37">
        <f>ROUND((Source!CT29/IF(Source!BA29&lt;&gt;0,Source!BA29,1)*Source!I29),2)+ROUND((Source!CR29/IF(Source!BB29&lt;&gt;0,Source!BB29,1)*Source!I29),2)+H75+H76+H77+H79</f>
        <v>1417.4900000000016</v>
      </c>
      <c r="I80" s="38"/>
      <c r="J80" s="38"/>
      <c r="K80" s="37">
        <f>Source!S29+Source!Q29+K75+K76+K77+K79</f>
        <v>20768.07000000002</v>
      </c>
      <c r="L80" s="37">
        <f>Source!U29</f>
        <v>42.18688</v>
      </c>
      <c r="M80" s="31">
        <f>H80</f>
        <v>1417.4900000000016</v>
      </c>
      <c r="N80">
        <f>ROUND((Source!CT29/IF(Source!BA29&lt;&gt;0,Source!BA29,1)*Source!I29),2)</f>
        <v>391.87</v>
      </c>
      <c r="O80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11437.238213</v>
      </c>
      <c r="P80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80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80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80">
        <f>IF(Source!BI29=1,Source!O29+Source!X29+Source!Y29,0)</f>
        <v>97018.61000000002</v>
      </c>
      <c r="T80">
        <f>IF(Source!BI29=2,Source!O29+Source!X29+Source!Y29,0)</f>
        <v>0</v>
      </c>
      <c r="U80">
        <f>IF(Source!BI29=3,Source!O29+Source!X29+Source!Y29,0)</f>
        <v>0</v>
      </c>
      <c r="V80">
        <f>IF(Source!BI29=4,Source!O29+Source!X29+Source!Y29,0)</f>
        <v>0</v>
      </c>
      <c r="W80">
        <f>ROUND((Source!CS29/IF(Source!BS29&lt;&gt;0,Source!BS29,1)*Source!I29),2)</f>
        <v>0</v>
      </c>
    </row>
    <row r="81" spans="1:12" ht="105">
      <c r="A81" s="27" t="str">
        <f>Source!E31</f>
        <v>6</v>
      </c>
      <c r="B81" s="27" t="str">
        <f>Source!F31</f>
        <v>410-0013</v>
      </c>
      <c r="C81" s="28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81" s="29" t="str">
        <f>Source!H31</f>
        <v>т</v>
      </c>
      <c r="E81" s="13">
        <f>ROUND(Source!I31,6)</f>
        <v>5.50066</v>
      </c>
      <c r="F81" s="15">
        <f>IF(Source!AK31&lt;&gt;0,Source!AK31,Source!AL31+Source!AM31+Source!AO31)</f>
        <v>416.05</v>
      </c>
      <c r="G81" s="13"/>
      <c r="H81" s="13"/>
      <c r="I81" s="30" t="str">
        <f>IF(Source!BO31&lt;&gt;"",Source!BO31,"")</f>
        <v>410-0013</v>
      </c>
      <c r="J81" s="13"/>
      <c r="K81" s="13"/>
      <c r="L81" s="13"/>
    </row>
    <row r="82" spans="1:12" ht="15">
      <c r="A82" s="33"/>
      <c r="B82" s="33"/>
      <c r="C82" s="33" t="s">
        <v>225</v>
      </c>
      <c r="D82" s="33"/>
      <c r="E82" s="33"/>
      <c r="F82" s="36">
        <f>Source!AL31</f>
        <v>416.05</v>
      </c>
      <c r="G82" s="35" t="str">
        <f>Source!DD31</f>
        <v>*4</v>
      </c>
      <c r="H82" s="36">
        <f>ROUND((Source!CQ31/IF(Source!BC31&lt;&gt;0,Source!BC31,1)*Source!I31),2)</f>
        <v>9154.2</v>
      </c>
      <c r="I82" s="33"/>
      <c r="J82" s="33">
        <f>Source!BC31</f>
        <v>5.6</v>
      </c>
      <c r="K82" s="36">
        <f>Source!P31</f>
        <v>51263.51</v>
      </c>
      <c r="L82" s="33"/>
    </row>
    <row r="83" spans="1:23" ht="15.75">
      <c r="A83" s="13"/>
      <c r="B83" s="13"/>
      <c r="C83" s="13"/>
      <c r="D83" s="13"/>
      <c r="E83" s="13"/>
      <c r="F83" s="13"/>
      <c r="G83" s="13"/>
      <c r="H83" s="37">
        <f>ROUND((Source!CT31/IF(Source!BA31&lt;&gt;0,Source!BA31,1)*Source!I31),2)+ROUND((Source!CR31/IF(Source!BB31&lt;&gt;0,Source!BB31,1)*Source!I31),2)+H82</f>
        <v>9154.2</v>
      </c>
      <c r="I83" s="38"/>
      <c r="J83" s="38"/>
      <c r="K83" s="37">
        <f>Source!S31+Source!Q31+K82</f>
        <v>51263.51</v>
      </c>
      <c r="L83" s="37">
        <f>Source!U31</f>
        <v>0</v>
      </c>
      <c r="M83" s="31">
        <f>H83</f>
        <v>9154.2</v>
      </c>
      <c r="N83">
        <f>ROUND((Source!CT31/IF(Source!BA31&lt;&gt;0,Source!BA31,1)*Source!I31),2)</f>
        <v>0</v>
      </c>
      <c r="O83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9154.198372</v>
      </c>
      <c r="P83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83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83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83">
        <f>IF(Source!BI31=1,Source!O31+Source!X31+Source!Y31,0)</f>
        <v>51263.51</v>
      </c>
      <c r="T83">
        <f>IF(Source!BI31=2,Source!O31+Source!X31+Source!Y31,0)</f>
        <v>0</v>
      </c>
      <c r="U83">
        <f>IF(Source!BI31=3,Source!O31+Source!X31+Source!Y31,0)</f>
        <v>0</v>
      </c>
      <c r="V83">
        <f>IF(Source!BI31=4,Source!O31+Source!X31+Source!Y31,0)</f>
        <v>0</v>
      </c>
      <c r="W83">
        <f>ROUND((Source!CS31/IF(Source!BS31&lt;&gt;0,Source!BS31,1)*Source!I31),2)</f>
        <v>0</v>
      </c>
    </row>
    <row r="85" spans="3:23" s="38" customFormat="1" ht="15.75">
      <c r="C85" s="38" t="s">
        <v>81</v>
      </c>
      <c r="G85" s="90">
        <f>SUM(M41:M84)</f>
        <v>35473.450000000004</v>
      </c>
      <c r="H85" s="90"/>
      <c r="J85" s="90">
        <f>ROUND(Source!AB22+Source!AK22+Source!AL22+Source!AE22*0/100,2)</f>
        <v>269666.75</v>
      </c>
      <c r="K85" s="90"/>
      <c r="L85" s="37">
        <f>Source!AH22</f>
        <v>179.53</v>
      </c>
      <c r="N85" s="37">
        <f aca="true" t="shared" si="0" ref="N85:W85">SUM(N41:N84)</f>
        <v>1610.85</v>
      </c>
      <c r="O85" s="37">
        <f t="shared" si="0"/>
        <v>35473.396754725</v>
      </c>
      <c r="P85" s="37">
        <f t="shared" si="0"/>
        <v>0</v>
      </c>
      <c r="Q85" s="37">
        <f t="shared" si="0"/>
        <v>0</v>
      </c>
      <c r="R85" s="37">
        <f t="shared" si="0"/>
        <v>0</v>
      </c>
      <c r="S85" s="37">
        <f t="shared" si="0"/>
        <v>269666.75</v>
      </c>
      <c r="T85" s="37">
        <f t="shared" si="0"/>
        <v>0</v>
      </c>
      <c r="U85" s="37">
        <f t="shared" si="0"/>
        <v>0</v>
      </c>
      <c r="V85" s="37">
        <f t="shared" si="0"/>
        <v>0</v>
      </c>
      <c r="W85" s="38">
        <f t="shared" si="0"/>
        <v>92.53</v>
      </c>
    </row>
    <row r="88" spans="3:23" s="43" customFormat="1" ht="18" hidden="1">
      <c r="C88" s="43" t="s">
        <v>230</v>
      </c>
      <c r="G88" s="84">
        <f>G85</f>
        <v>35473.450000000004</v>
      </c>
      <c r="H88" s="84"/>
      <c r="J88" s="84">
        <f>ROUND(Source!O33+Source!X33+Source!Y33+Source!R33*0/100,2)</f>
        <v>269666.75</v>
      </c>
      <c r="K88" s="84"/>
      <c r="L88" s="44">
        <f>Source!U33</f>
        <v>179.53</v>
      </c>
      <c r="N88" s="44">
        <f aca="true" t="shared" si="1" ref="N88:W88">N85</f>
        <v>1610.85</v>
      </c>
      <c r="O88" s="44">
        <f t="shared" si="1"/>
        <v>35473.396754725</v>
      </c>
      <c r="P88" s="44">
        <f t="shared" si="1"/>
        <v>0</v>
      </c>
      <c r="Q88" s="44">
        <f t="shared" si="1"/>
        <v>0</v>
      </c>
      <c r="R88" s="44">
        <f t="shared" si="1"/>
        <v>0</v>
      </c>
      <c r="S88" s="44">
        <f t="shared" si="1"/>
        <v>269666.75</v>
      </c>
      <c r="T88" s="44">
        <f t="shared" si="1"/>
        <v>0</v>
      </c>
      <c r="U88" s="44">
        <f t="shared" si="1"/>
        <v>0</v>
      </c>
      <c r="V88" s="44">
        <f t="shared" si="1"/>
        <v>0</v>
      </c>
      <c r="W88" s="43">
        <f t="shared" si="1"/>
        <v>92.53</v>
      </c>
    </row>
    <row r="90" spans="3:11" ht="18">
      <c r="C90" s="43"/>
      <c r="D90" s="91"/>
      <c r="E90" s="91"/>
      <c r="F90" s="91"/>
      <c r="G90" s="91"/>
      <c r="H90" s="91"/>
      <c r="I90" s="91"/>
      <c r="J90" s="91"/>
      <c r="K90" s="91"/>
    </row>
    <row r="91" spans="3:12" ht="18">
      <c r="C91" s="81" t="str">
        <f>Source!H64</f>
        <v>Итого</v>
      </c>
      <c r="D91" s="81"/>
      <c r="E91" s="81"/>
      <c r="F91" s="81"/>
      <c r="G91" s="81"/>
      <c r="H91" s="81"/>
      <c r="I91" s="81"/>
      <c r="J91" s="82">
        <f>Source!F64</f>
        <v>269666.75</v>
      </c>
      <c r="K91" s="83"/>
      <c r="L91" s="45"/>
    </row>
    <row r="92" spans="3:12" ht="18">
      <c r="C92" s="81" t="str">
        <f>Source!H65</f>
        <v>НДС 18%</v>
      </c>
      <c r="D92" s="81"/>
      <c r="E92" s="81"/>
      <c r="F92" s="81"/>
      <c r="G92" s="81"/>
      <c r="H92" s="81"/>
      <c r="I92" s="81"/>
      <c r="J92" s="82">
        <f>Source!F65</f>
        <v>48540.02</v>
      </c>
      <c r="K92" s="83"/>
      <c r="L92" s="45"/>
    </row>
    <row r="93" spans="3:12" ht="18">
      <c r="C93" s="81" t="str">
        <f>Source!H66</f>
        <v>ВСЕГО</v>
      </c>
      <c r="D93" s="81"/>
      <c r="E93" s="81"/>
      <c r="F93" s="81"/>
      <c r="G93" s="81"/>
      <c r="H93" s="81"/>
      <c r="I93" s="81"/>
      <c r="J93" s="82">
        <f>Source!F66</f>
        <v>318206.77</v>
      </c>
      <c r="K93" s="83"/>
      <c r="L93" s="45"/>
    </row>
    <row r="95" spans="3:23" s="43" customFormat="1" ht="18" hidden="1">
      <c r="C95" s="43" t="s">
        <v>231</v>
      </c>
      <c r="G95" s="84">
        <f>SUM(M1:M95)</f>
        <v>35473.450000000004</v>
      </c>
      <c r="H95" s="84"/>
      <c r="J95" s="84">
        <f>ROUND(Source!O18+Source!X18+Source!Y18+Source!R18*0/100,2)</f>
        <v>269666.75</v>
      </c>
      <c r="K95" s="84"/>
      <c r="L95" s="44">
        <f>Source!U18</f>
        <v>179.53</v>
      </c>
      <c r="N95" s="44">
        <f aca="true" t="shared" si="2" ref="N95:W95">N85</f>
        <v>1610.85</v>
      </c>
      <c r="O95" s="44">
        <f t="shared" si="2"/>
        <v>35473.396754725</v>
      </c>
      <c r="P95" s="44">
        <f t="shared" si="2"/>
        <v>0</v>
      </c>
      <c r="Q95" s="44">
        <f t="shared" si="2"/>
        <v>0</v>
      </c>
      <c r="R95" s="44">
        <f t="shared" si="2"/>
        <v>0</v>
      </c>
      <c r="S95" s="44">
        <f t="shared" si="2"/>
        <v>269666.75</v>
      </c>
      <c r="T95" s="44">
        <f t="shared" si="2"/>
        <v>0</v>
      </c>
      <c r="U95" s="44">
        <f t="shared" si="2"/>
        <v>0</v>
      </c>
      <c r="V95" s="44">
        <f t="shared" si="2"/>
        <v>0</v>
      </c>
      <c r="W95" s="43">
        <f t="shared" si="2"/>
        <v>92.53</v>
      </c>
    </row>
    <row r="96" spans="1:8" s="4" customFormat="1" ht="71.25" customHeight="1">
      <c r="A96" s="4" t="s">
        <v>232</v>
      </c>
      <c r="C96" s="46" t="str">
        <f>IF(Source!AO12&lt;&gt;"",Source!AO12," ")</f>
        <v> </v>
      </c>
      <c r="D96" s="46"/>
      <c r="E96" s="46"/>
      <c r="F96" s="46"/>
      <c r="G96" s="46"/>
      <c r="H96" s="4" t="str">
        <f>IF(Source!R12&lt;&gt;"",Source!R12," ")</f>
        <v> </v>
      </c>
    </row>
    <row r="97" spans="3:7" s="5" customFormat="1" ht="11.25">
      <c r="C97" s="85" t="s">
        <v>233</v>
      </c>
      <c r="D97" s="85"/>
      <c r="E97" s="85"/>
      <c r="F97" s="85"/>
      <c r="G97" s="85"/>
    </row>
    <row r="99" spans="1:8" s="4" customFormat="1" ht="12.75">
      <c r="A99" s="4" t="s">
        <v>234</v>
      </c>
      <c r="C99" s="46" t="str">
        <f>IF(Source!AP12&lt;&gt;"",Source!AP12," ")</f>
        <v> </v>
      </c>
      <c r="D99" s="46"/>
      <c r="E99" s="46"/>
      <c r="F99" s="46"/>
      <c r="G99" s="46"/>
      <c r="H99" s="4" t="str">
        <f>IF(Source!S12&lt;&gt;"",Source!S12," ")</f>
        <v> </v>
      </c>
    </row>
    <row r="100" spans="3:7" s="5" customFormat="1" ht="11.25">
      <c r="C100" s="85" t="s">
        <v>233</v>
      </c>
      <c r="D100" s="85"/>
      <c r="E100" s="85"/>
      <c r="F100" s="85"/>
      <c r="G100" s="85"/>
    </row>
  </sheetData>
  <sheetProtection/>
  <mergeCells count="59">
    <mergeCell ref="C97:G97"/>
    <mergeCell ref="C100:G100"/>
    <mergeCell ref="C92:I92"/>
    <mergeCell ref="J92:K92"/>
    <mergeCell ref="J95:K95"/>
    <mergeCell ref="G95:H95"/>
    <mergeCell ref="C93:I93"/>
    <mergeCell ref="J93:K93"/>
    <mergeCell ref="A33:C33"/>
    <mergeCell ref="J85:K85"/>
    <mergeCell ref="G85:H85"/>
    <mergeCell ref="J88:K88"/>
    <mergeCell ref="G88:H88"/>
    <mergeCell ref="D90:K90"/>
    <mergeCell ref="C91:I91"/>
    <mergeCell ref="J91:K91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B18:L18"/>
    <mergeCell ref="B19:L19"/>
    <mergeCell ref="A21:L21"/>
    <mergeCell ref="G24:H24"/>
    <mergeCell ref="I24:J24"/>
    <mergeCell ref="C25:F25"/>
    <mergeCell ref="G25:H25"/>
    <mergeCell ref="I25:J25"/>
    <mergeCell ref="K25:L25"/>
    <mergeCell ref="A11:L11"/>
    <mergeCell ref="A12:L12"/>
    <mergeCell ref="A15:L15"/>
    <mergeCell ref="F3:I3"/>
    <mergeCell ref="A5:B5"/>
    <mergeCell ref="F5:H5"/>
    <mergeCell ref="C5:D5"/>
    <mergeCell ref="I5:K5"/>
    <mergeCell ref="C7:D7"/>
    <mergeCell ref="H7:K7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K86"/>
  <sheetViews>
    <sheetView zoomScalePageLayoutView="0" workbookViewId="0" topLeftCell="A25">
      <selection activeCell="M12" sqref="M1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21405</v>
      </c>
    </row>
    <row r="12" spans="1:104" ht="12.75">
      <c r="A12" s="1">
        <v>1</v>
      </c>
      <c r="B12" s="1">
        <v>1</v>
      </c>
      <c r="C12" s="1">
        <v>0</v>
      </c>
      <c r="D12" s="1">
        <f>ROW(A49)</f>
        <v>49</v>
      </c>
      <c r="E12" s="1">
        <v>0</v>
      </c>
      <c r="F12" s="1" t="s">
        <v>4</v>
      </c>
      <c r="G12" s="1" t="s">
        <v>272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2012</v>
      </c>
      <c r="Q12" s="1">
        <v>8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28314676</v>
      </c>
      <c r="BE12" s="1" t="s">
        <v>6</v>
      </c>
      <c r="BF12" s="1" t="s">
        <v>7</v>
      </c>
      <c r="BG12" s="1">
        <v>25391954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25390633</v>
      </c>
      <c r="CB12" s="1">
        <v>25390629</v>
      </c>
      <c r="CC12" s="1">
        <v>25390627</v>
      </c>
      <c r="CD12" s="1">
        <v>25390625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25421525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23115327</v>
      </c>
      <c r="CT12" s="1">
        <v>0</v>
      </c>
      <c r="CU12" s="1">
        <v>0</v>
      </c>
      <c r="CV12" s="1">
        <v>25732365</v>
      </c>
      <c r="CW12" s="1">
        <v>25732368</v>
      </c>
      <c r="CX12" s="1">
        <v>28191827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B49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 ремонт тротуара  от  пересечения тротуара ведущего   к  администрации до ул.Строителей д.2а  и  тротуара к д.2  по ул.1 мая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213144.97</v>
      </c>
      <c r="P18" s="2">
        <f t="shared" si="0"/>
        <v>177969.1</v>
      </c>
      <c r="Q18" s="2">
        <f t="shared" si="0"/>
        <v>6438.51</v>
      </c>
      <c r="R18" s="2">
        <f t="shared" si="0"/>
        <v>1650.7</v>
      </c>
      <c r="S18" s="2">
        <f t="shared" si="0"/>
        <v>28737.36</v>
      </c>
      <c r="T18" s="2">
        <f t="shared" si="0"/>
        <v>0</v>
      </c>
      <c r="U18" s="2">
        <f t="shared" si="0"/>
        <v>179.53</v>
      </c>
      <c r="V18" s="2">
        <f t="shared" si="0"/>
        <v>8.33</v>
      </c>
      <c r="W18" s="2">
        <f t="shared" si="0"/>
        <v>0</v>
      </c>
      <c r="X18" s="2">
        <f t="shared" si="0"/>
        <v>36769.54</v>
      </c>
      <c r="Y18" s="2">
        <f t="shared" si="0"/>
        <v>19752.24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ROW(A33)</f>
        <v>33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B33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213144.97</v>
      </c>
      <c r="P22" s="2">
        <f t="shared" si="1"/>
        <v>177969.1</v>
      </c>
      <c r="Q22" s="2">
        <f t="shared" si="1"/>
        <v>6438.51</v>
      </c>
      <c r="R22" s="2">
        <f t="shared" si="1"/>
        <v>1650.7</v>
      </c>
      <c r="S22" s="2">
        <f t="shared" si="1"/>
        <v>28737.36</v>
      </c>
      <c r="T22" s="2">
        <f t="shared" si="1"/>
        <v>0</v>
      </c>
      <c r="U22" s="2">
        <f t="shared" si="1"/>
        <v>179.53</v>
      </c>
      <c r="V22" s="2">
        <f t="shared" si="1"/>
        <v>8.33</v>
      </c>
      <c r="W22" s="2">
        <f t="shared" si="1"/>
        <v>0</v>
      </c>
      <c r="X22" s="2">
        <f t="shared" si="1"/>
        <v>36769.54</v>
      </c>
      <c r="Y22" s="2">
        <f t="shared" si="1"/>
        <v>19752.24</v>
      </c>
      <c r="Z22" s="2">
        <f t="shared" si="1"/>
        <v>0</v>
      </c>
      <c r="AA22" s="2">
        <f t="shared" si="1"/>
        <v>0</v>
      </c>
      <c r="AB22" s="2">
        <f t="shared" si="1"/>
        <v>213144.97</v>
      </c>
      <c r="AC22" s="2">
        <f t="shared" si="1"/>
        <v>177969.1</v>
      </c>
      <c r="AD22" s="2">
        <f t="shared" si="1"/>
        <v>6438.51</v>
      </c>
      <c r="AE22" s="2">
        <f t="shared" si="1"/>
        <v>1650.7</v>
      </c>
      <c r="AF22" s="2">
        <f t="shared" si="1"/>
        <v>28737.36</v>
      </c>
      <c r="AG22" s="2">
        <f t="shared" si="1"/>
        <v>0</v>
      </c>
      <c r="AH22" s="2">
        <f t="shared" si="1"/>
        <v>179.53</v>
      </c>
      <c r="AI22" s="2">
        <f t="shared" si="1"/>
        <v>8.33</v>
      </c>
      <c r="AJ22" s="2">
        <f t="shared" si="1"/>
        <v>0</v>
      </c>
      <c r="AK22" s="2">
        <f t="shared" si="1"/>
        <v>36769.54</v>
      </c>
      <c r="AL22" s="2">
        <f t="shared" si="1"/>
        <v>19752.24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93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14</v>
      </c>
      <c r="F24" t="s">
        <v>15</v>
      </c>
      <c r="G24" t="s">
        <v>271</v>
      </c>
      <c r="H24" t="s">
        <v>16</v>
      </c>
      <c r="I24">
        <v>2.727</v>
      </c>
      <c r="J24">
        <v>0</v>
      </c>
      <c r="O24">
        <f aca="true" t="shared" si="2" ref="O24:O31">ROUND(CP24,2)</f>
        <v>72574.31</v>
      </c>
      <c r="P24">
        <f aca="true" t="shared" si="3" ref="P24:P31">ROUND(CQ24*I24,2)</f>
        <v>57184.78</v>
      </c>
      <c r="Q24">
        <f aca="true" t="shared" si="4" ref="Q24:Q31">ROUND(CR24*I24,2)</f>
        <v>4589.79</v>
      </c>
      <c r="R24">
        <f aca="true" t="shared" si="5" ref="R24:R31">ROUND(CS24*I24,2)</f>
        <v>1702.74</v>
      </c>
      <c r="S24">
        <f aca="true" t="shared" si="6" ref="S24:S31">ROUND(CT24*I24,2)</f>
        <v>10799.74</v>
      </c>
      <c r="T24">
        <f aca="true" t="shared" si="7" ref="T24:T31">ROUND(CU24*I24,2)</f>
        <v>0</v>
      </c>
      <c r="U24">
        <f aca="true" t="shared" si="8" ref="U24:U31">CV24*I24</f>
        <v>71.55648</v>
      </c>
      <c r="V24">
        <f aca="true" t="shared" si="9" ref="V24:V31">CW24*I24</f>
        <v>8.644589999999999</v>
      </c>
      <c r="W24">
        <f aca="true" t="shared" si="10" ref="W24:W31">ROUND(CX24*I24,2)</f>
        <v>0</v>
      </c>
      <c r="X24">
        <f aca="true" t="shared" si="11" ref="X24:Y31">ROUND(CY24,2)</f>
        <v>15128</v>
      </c>
      <c r="Y24">
        <f t="shared" si="11"/>
        <v>8126.61</v>
      </c>
      <c r="AA24">
        <v>0</v>
      </c>
      <c r="AB24">
        <f aca="true" t="shared" si="12" ref="AB24:AB31">(AC24+AD24+AF24)</f>
        <v>3049.0600000000004</v>
      </c>
      <c r="AC24">
        <f>(ES24)</f>
        <v>2541.8</v>
      </c>
      <c r="AD24">
        <f>(ET24)</f>
        <v>285.27</v>
      </c>
      <c r="AE24">
        <f>(EU24)</f>
        <v>35</v>
      </c>
      <c r="AF24">
        <f>(EV24)</f>
        <v>221.99</v>
      </c>
      <c r="AG24">
        <f>(AP24)</f>
        <v>0</v>
      </c>
      <c r="AH24">
        <f>(EW24)</f>
        <v>26.24</v>
      </c>
      <c r="AI24">
        <f>(EX24)</f>
        <v>3.17</v>
      </c>
      <c r="AJ24">
        <f>(AS24)</f>
        <v>0</v>
      </c>
      <c r="AK24">
        <v>3049.0600000000004</v>
      </c>
      <c r="AL24">
        <v>2541.8</v>
      </c>
      <c r="AM24">
        <v>285.27</v>
      </c>
      <c r="AN24">
        <v>35</v>
      </c>
      <c r="AO24">
        <v>221.99</v>
      </c>
      <c r="AP24">
        <v>0</v>
      </c>
      <c r="AQ24">
        <v>26.24</v>
      </c>
      <c r="AR24">
        <v>3.17</v>
      </c>
      <c r="AS24">
        <v>0</v>
      </c>
      <c r="AT24">
        <v>121</v>
      </c>
      <c r="AU24">
        <v>65</v>
      </c>
      <c r="AV24">
        <v>1</v>
      </c>
      <c r="AW24">
        <v>1</v>
      </c>
      <c r="AX24">
        <v>1</v>
      </c>
      <c r="AY24">
        <v>1</v>
      </c>
      <c r="AZ24">
        <v>9.74</v>
      </c>
      <c r="BA24">
        <v>17.84</v>
      </c>
      <c r="BB24">
        <v>5.9</v>
      </c>
      <c r="BC24">
        <v>8.25</v>
      </c>
      <c r="BH24">
        <v>0</v>
      </c>
      <c r="BI24">
        <v>1</v>
      </c>
      <c r="BJ24" t="s">
        <v>17</v>
      </c>
      <c r="BM24">
        <v>27001</v>
      </c>
      <c r="BN24">
        <v>0</v>
      </c>
      <c r="BO24" t="s">
        <v>15</v>
      </c>
      <c r="BP24">
        <v>1</v>
      </c>
      <c r="BQ24">
        <v>2</v>
      </c>
      <c r="BR24">
        <v>0</v>
      </c>
      <c r="BS24">
        <v>17.84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142</v>
      </c>
      <c r="CA24">
        <v>95</v>
      </c>
      <c r="CF24">
        <v>0</v>
      </c>
      <c r="CG24">
        <v>0</v>
      </c>
      <c r="CM24">
        <v>0</v>
      </c>
      <c r="CO24">
        <v>0</v>
      </c>
      <c r="CP24">
        <f aca="true" t="shared" si="13" ref="CP24:CP31">(P24+Q24+S24)</f>
        <v>72574.31</v>
      </c>
      <c r="CQ24">
        <f aca="true" t="shared" si="14" ref="CQ24:CQ31">(AC24)*BC24</f>
        <v>20969.850000000002</v>
      </c>
      <c r="CR24">
        <f aca="true" t="shared" si="15" ref="CR24:CR31">(AD24)*BB24</f>
        <v>1683.093</v>
      </c>
      <c r="CS24">
        <f aca="true" t="shared" si="16" ref="CS24:CS31">(AE24)*BS24</f>
        <v>624.4</v>
      </c>
      <c r="CT24">
        <f aca="true" t="shared" si="17" ref="CT24:CT31">(AF24)*BA24</f>
        <v>3960.3016000000002</v>
      </c>
      <c r="CU24">
        <f aca="true" t="shared" si="18" ref="CU24:CX31">(AG24)*BT24</f>
        <v>0</v>
      </c>
      <c r="CV24">
        <f t="shared" si="18"/>
        <v>26.24</v>
      </c>
      <c r="CW24">
        <f t="shared" si="18"/>
        <v>3.17</v>
      </c>
      <c r="CX24">
        <f t="shared" si="18"/>
        <v>0</v>
      </c>
      <c r="CY24">
        <f>((S24+R24)*(ROUND((FX24*IF(1,(IF(0,0.94,0.85)*IF(0,0.85,1)),1)),IF(1,0,2))/100))</f>
        <v>15128.0008</v>
      </c>
      <c r="CZ24">
        <f>((S24+R24)*(ROUND((FY24*IF(1,0.8,1)),IF(1,0,2))/100))</f>
        <v>8126.612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16</v>
      </c>
      <c r="DW24" t="s">
        <v>18</v>
      </c>
      <c r="DX24">
        <v>100</v>
      </c>
      <c r="EE24">
        <v>28133394</v>
      </c>
      <c r="EF24">
        <v>2</v>
      </c>
      <c r="EG24" t="s">
        <v>19</v>
      </c>
      <c r="EH24">
        <v>0</v>
      </c>
      <c r="EJ24">
        <v>1</v>
      </c>
      <c r="EK24">
        <v>27001</v>
      </c>
      <c r="EL24" t="s">
        <v>20</v>
      </c>
      <c r="EM24" t="s">
        <v>21</v>
      </c>
      <c r="EQ24">
        <v>0</v>
      </c>
      <c r="ER24">
        <v>3049.06</v>
      </c>
      <c r="ES24">
        <v>2541.8</v>
      </c>
      <c r="ET24">
        <v>285.27</v>
      </c>
      <c r="EU24">
        <v>35</v>
      </c>
      <c r="EV24">
        <v>221.99</v>
      </c>
      <c r="EW24">
        <v>26.24</v>
      </c>
      <c r="EX24">
        <v>3.17</v>
      </c>
      <c r="EY24">
        <v>0</v>
      </c>
      <c r="EZ24">
        <v>0</v>
      </c>
      <c r="FQ24">
        <v>0</v>
      </c>
      <c r="FR24">
        <f aca="true" t="shared" si="19" ref="FR24:FR31">ROUND(IF(AND(AA24=0,BI24=3),P24,0),2)</f>
        <v>0</v>
      </c>
      <c r="FS24">
        <v>0</v>
      </c>
      <c r="FU24" t="s">
        <v>22</v>
      </c>
      <c r="FV24" t="s">
        <v>23</v>
      </c>
      <c r="FW24" t="s">
        <v>24</v>
      </c>
      <c r="FX24">
        <v>142</v>
      </c>
      <c r="FY24">
        <v>80.75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</row>
    <row r="25" spans="1:193" ht="12.75">
      <c r="A25">
        <v>17</v>
      </c>
      <c r="B25">
        <v>1</v>
      </c>
      <c r="C25">
        <f>ROW(SmtRes!A11)</f>
        <v>11</v>
      </c>
      <c r="D25">
        <f>ROW(EtalonRes!A11)</f>
        <v>11</v>
      </c>
      <c r="E25" t="s">
        <v>25</v>
      </c>
      <c r="F25" t="s">
        <v>26</v>
      </c>
      <c r="G25" t="s">
        <v>27</v>
      </c>
      <c r="H25" t="s">
        <v>16</v>
      </c>
      <c r="I25">
        <v>2.727</v>
      </c>
      <c r="J25">
        <v>0</v>
      </c>
      <c r="O25">
        <f t="shared" si="2"/>
        <v>-10594.66</v>
      </c>
      <c r="P25">
        <f t="shared" si="3"/>
        <v>-9840.52</v>
      </c>
      <c r="Q25">
        <f t="shared" si="4"/>
        <v>-309.48</v>
      </c>
      <c r="R25">
        <f t="shared" si="5"/>
        <v>-98.27</v>
      </c>
      <c r="S25">
        <f t="shared" si="6"/>
        <v>-444.66</v>
      </c>
      <c r="T25">
        <f t="shared" si="7"/>
        <v>0</v>
      </c>
      <c r="U25">
        <f t="shared" si="8"/>
        <v>-2.94516</v>
      </c>
      <c r="V25">
        <f t="shared" si="9"/>
        <v>-0.5454</v>
      </c>
      <c r="W25">
        <f t="shared" si="10"/>
        <v>0</v>
      </c>
      <c r="X25">
        <f t="shared" si="11"/>
        <v>-656.95</v>
      </c>
      <c r="Y25">
        <f t="shared" si="11"/>
        <v>-352.9</v>
      </c>
      <c r="AA25">
        <v>0</v>
      </c>
      <c r="AB25">
        <f t="shared" si="12"/>
        <v>-466.52</v>
      </c>
      <c r="AC25">
        <f>((ES25*-2))</f>
        <v>-437.4</v>
      </c>
      <c r="AD25">
        <f>((ET25*-2))</f>
        <v>-19.98</v>
      </c>
      <c r="AE25">
        <f>((EU25*-2))</f>
        <v>-2.02</v>
      </c>
      <c r="AF25">
        <f>((EV25*-2))</f>
        <v>-9.14</v>
      </c>
      <c r="AG25">
        <f>(AP25)</f>
        <v>0</v>
      </c>
      <c r="AH25">
        <f>((EW25*-2))</f>
        <v>-1.08</v>
      </c>
      <c r="AI25">
        <f>((EX25*-2))</f>
        <v>-0.2</v>
      </c>
      <c r="AJ25">
        <f>(AS25)</f>
        <v>0</v>
      </c>
      <c r="AK25">
        <v>233.26</v>
      </c>
      <c r="AL25">
        <v>218.7</v>
      </c>
      <c r="AM25">
        <v>9.99</v>
      </c>
      <c r="AN25">
        <v>1.01</v>
      </c>
      <c r="AO25">
        <v>4.57</v>
      </c>
      <c r="AP25">
        <v>0</v>
      </c>
      <c r="AQ25">
        <v>0.54</v>
      </c>
      <c r="AR25">
        <v>0.1</v>
      </c>
      <c r="AS25">
        <v>0</v>
      </c>
      <c r="AT25">
        <v>121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8.68</v>
      </c>
      <c r="BA25">
        <v>17.84</v>
      </c>
      <c r="BB25">
        <v>5.68</v>
      </c>
      <c r="BC25">
        <v>8.25</v>
      </c>
      <c r="BH25">
        <v>0</v>
      </c>
      <c r="BI25">
        <v>1</v>
      </c>
      <c r="BJ25" t="s">
        <v>28</v>
      </c>
      <c r="BM25">
        <v>27001</v>
      </c>
      <c r="BN25">
        <v>0</v>
      </c>
      <c r="BO25" t="s">
        <v>26</v>
      </c>
      <c r="BP25">
        <v>1</v>
      </c>
      <c r="BQ25">
        <v>2</v>
      </c>
      <c r="BR25">
        <v>0</v>
      </c>
      <c r="BS25">
        <v>17.84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142</v>
      </c>
      <c r="CA25">
        <v>95</v>
      </c>
      <c r="CF25">
        <v>0</v>
      </c>
      <c r="CG25">
        <v>0</v>
      </c>
      <c r="CM25">
        <v>0</v>
      </c>
      <c r="CO25">
        <v>0</v>
      </c>
      <c r="CP25">
        <f t="shared" si="13"/>
        <v>-10594.66</v>
      </c>
      <c r="CQ25">
        <f t="shared" si="14"/>
        <v>-3608.5499999999997</v>
      </c>
      <c r="CR25">
        <f t="shared" si="15"/>
        <v>-113.4864</v>
      </c>
      <c r="CS25">
        <f t="shared" si="16"/>
        <v>-36.0368</v>
      </c>
      <c r="CT25">
        <f t="shared" si="17"/>
        <v>-163.0576</v>
      </c>
      <c r="CU25">
        <f t="shared" si="18"/>
        <v>0</v>
      </c>
      <c r="CV25">
        <f t="shared" si="18"/>
        <v>-1.08</v>
      </c>
      <c r="CW25">
        <f t="shared" si="18"/>
        <v>-0.2</v>
      </c>
      <c r="CX25">
        <f t="shared" si="18"/>
        <v>0</v>
      </c>
      <c r="CY25">
        <f>((S25+R25)*(ROUND((FX25*IF(1,(IF(0,0.94,0.85)*IF(0,0.85,1)),1)),IF(1,0,2))/100))</f>
        <v>-656.9453000000001</v>
      </c>
      <c r="CZ25">
        <f>((S25+R25)*(ROUND((FY25*IF(1,0.8,1)),IF(1,0,2))/100))</f>
        <v>-352.90450000000004</v>
      </c>
      <c r="DD25" t="s">
        <v>29</v>
      </c>
      <c r="DE25" t="s">
        <v>29</v>
      </c>
      <c r="DF25" t="s">
        <v>29</v>
      </c>
      <c r="DG25" t="s">
        <v>29</v>
      </c>
      <c r="DI25" t="s">
        <v>29</v>
      </c>
      <c r="DJ25" t="s">
        <v>29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16</v>
      </c>
      <c r="DW25" t="s">
        <v>18</v>
      </c>
      <c r="DX25">
        <v>100</v>
      </c>
      <c r="EE25">
        <v>28133394</v>
      </c>
      <c r="EF25">
        <v>2</v>
      </c>
      <c r="EG25" t="s">
        <v>19</v>
      </c>
      <c r="EH25">
        <v>0</v>
      </c>
      <c r="EJ25">
        <v>1</v>
      </c>
      <c r="EK25">
        <v>27001</v>
      </c>
      <c r="EL25" t="s">
        <v>20</v>
      </c>
      <c r="EM25" t="s">
        <v>21</v>
      </c>
      <c r="EQ25">
        <v>0</v>
      </c>
      <c r="ER25">
        <v>233.26</v>
      </c>
      <c r="ES25">
        <v>218.7</v>
      </c>
      <c r="ET25">
        <v>9.99</v>
      </c>
      <c r="EU25">
        <v>1.01</v>
      </c>
      <c r="EV25">
        <v>4.57</v>
      </c>
      <c r="EW25">
        <v>0.54</v>
      </c>
      <c r="EX25">
        <v>0.1</v>
      </c>
      <c r="EY25">
        <v>0</v>
      </c>
      <c r="EZ25">
        <v>0</v>
      </c>
      <c r="FQ25">
        <v>0</v>
      </c>
      <c r="FR25">
        <f t="shared" si="19"/>
        <v>0</v>
      </c>
      <c r="FS25">
        <v>0</v>
      </c>
      <c r="FU25" t="s">
        <v>22</v>
      </c>
      <c r="FV25" t="s">
        <v>23</v>
      </c>
      <c r="FW25" t="s">
        <v>24</v>
      </c>
      <c r="FX25">
        <v>142</v>
      </c>
      <c r="FY25">
        <v>80.75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</row>
    <row r="26" spans="1:193" ht="12.75">
      <c r="A26">
        <v>17</v>
      </c>
      <c r="B26">
        <v>1</v>
      </c>
      <c r="C26">
        <f>ROW(SmtRes!A20)</f>
        <v>20</v>
      </c>
      <c r="D26">
        <f>ROW(EtalonRes!A20)</f>
        <v>20</v>
      </c>
      <c r="E26" t="s">
        <v>30</v>
      </c>
      <c r="F26" t="s">
        <v>31</v>
      </c>
      <c r="G26" t="s">
        <v>32</v>
      </c>
      <c r="H26" t="s">
        <v>16</v>
      </c>
      <c r="I26">
        <v>4.546</v>
      </c>
      <c r="J26">
        <v>0</v>
      </c>
      <c r="O26">
        <f t="shared" si="2"/>
        <v>128997.89</v>
      </c>
      <c r="P26">
        <f t="shared" si="3"/>
        <v>116222.71</v>
      </c>
      <c r="Q26">
        <f t="shared" si="4"/>
        <v>1383.78</v>
      </c>
      <c r="R26">
        <f t="shared" si="5"/>
        <v>46.23</v>
      </c>
      <c r="S26">
        <f t="shared" si="6"/>
        <v>11391.4</v>
      </c>
      <c r="T26">
        <f t="shared" si="7"/>
        <v>0</v>
      </c>
      <c r="U26">
        <f t="shared" si="8"/>
        <v>68.73552</v>
      </c>
      <c r="V26">
        <f t="shared" si="9"/>
        <v>0.22730000000000003</v>
      </c>
      <c r="W26">
        <f t="shared" si="10"/>
        <v>0</v>
      </c>
      <c r="X26">
        <f t="shared" si="11"/>
        <v>13839.53</v>
      </c>
      <c r="Y26">
        <f t="shared" si="11"/>
        <v>7434.46</v>
      </c>
      <c r="AA26">
        <v>0</v>
      </c>
      <c r="AB26">
        <f t="shared" si="12"/>
        <v>3566.81</v>
      </c>
      <c r="AC26">
        <f>(ES26)</f>
        <v>3368.37</v>
      </c>
      <c r="AD26">
        <f>(ET26)</f>
        <v>57.98</v>
      </c>
      <c r="AE26">
        <f>(EU26)</f>
        <v>0.57</v>
      </c>
      <c r="AF26">
        <f>(EV26)</f>
        <v>140.46</v>
      </c>
      <c r="AG26">
        <f>(AP26)</f>
        <v>0</v>
      </c>
      <c r="AH26">
        <f>(EW26)</f>
        <v>15.12</v>
      </c>
      <c r="AI26">
        <f>(EX26)</f>
        <v>0.05</v>
      </c>
      <c r="AJ26">
        <f>(AS26)</f>
        <v>0</v>
      </c>
      <c r="AK26">
        <v>3566.81</v>
      </c>
      <c r="AL26">
        <v>3368.37</v>
      </c>
      <c r="AM26">
        <v>57.98</v>
      </c>
      <c r="AN26">
        <v>0.57</v>
      </c>
      <c r="AO26">
        <v>140.46</v>
      </c>
      <c r="AP26">
        <v>0</v>
      </c>
      <c r="AQ26">
        <v>15.12</v>
      </c>
      <c r="AR26">
        <v>0.05</v>
      </c>
      <c r="AS26">
        <v>0</v>
      </c>
      <c r="AT26">
        <v>121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8.55</v>
      </c>
      <c r="BA26">
        <v>17.84</v>
      </c>
      <c r="BB26">
        <v>5.25</v>
      </c>
      <c r="BC26">
        <v>7.59</v>
      </c>
      <c r="BH26">
        <v>0</v>
      </c>
      <c r="BI26">
        <v>1</v>
      </c>
      <c r="BJ26" t="s">
        <v>33</v>
      </c>
      <c r="BM26">
        <v>27001</v>
      </c>
      <c r="BN26">
        <v>0</v>
      </c>
      <c r="BO26" t="s">
        <v>31</v>
      </c>
      <c r="BP26">
        <v>1</v>
      </c>
      <c r="BQ26">
        <v>2</v>
      </c>
      <c r="BR26">
        <v>0</v>
      </c>
      <c r="BS26">
        <v>17.84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142</v>
      </c>
      <c r="CA26">
        <v>95</v>
      </c>
      <c r="CF26">
        <v>0</v>
      </c>
      <c r="CG26">
        <v>0</v>
      </c>
      <c r="CM26">
        <v>0</v>
      </c>
      <c r="CO26">
        <v>0</v>
      </c>
      <c r="CP26">
        <f t="shared" si="13"/>
        <v>128997.89</v>
      </c>
      <c r="CQ26">
        <f t="shared" si="14"/>
        <v>25565.9283</v>
      </c>
      <c r="CR26">
        <f t="shared" si="15"/>
        <v>304.395</v>
      </c>
      <c r="CS26">
        <f t="shared" si="16"/>
        <v>10.1688</v>
      </c>
      <c r="CT26">
        <f t="shared" si="17"/>
        <v>2505.8064</v>
      </c>
      <c r="CU26">
        <f t="shared" si="18"/>
        <v>0</v>
      </c>
      <c r="CV26">
        <f t="shared" si="18"/>
        <v>15.12</v>
      </c>
      <c r="CW26">
        <f t="shared" si="18"/>
        <v>0.05</v>
      </c>
      <c r="CX26">
        <f t="shared" si="18"/>
        <v>0</v>
      </c>
      <c r="CY26">
        <f>((S26+R26)*(ROUND((FX26*IF(1,(IF(0,0.94,0.85)*IF(0,0.85,1)),1)),IF(1,0,2))/100))</f>
        <v>13839.532299999999</v>
      </c>
      <c r="CZ26">
        <f>((S26+R26)*(ROUND((FY26*IF(1,0.8,1)),IF(1,0,2))/100))</f>
        <v>7434.4595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16</v>
      </c>
      <c r="DW26" t="s">
        <v>34</v>
      </c>
      <c r="DX26">
        <v>100</v>
      </c>
      <c r="EE26">
        <v>28133394</v>
      </c>
      <c r="EF26">
        <v>2</v>
      </c>
      <c r="EG26" t="s">
        <v>19</v>
      </c>
      <c r="EH26">
        <v>0</v>
      </c>
      <c r="EJ26">
        <v>1</v>
      </c>
      <c r="EK26">
        <v>27001</v>
      </c>
      <c r="EL26" t="s">
        <v>20</v>
      </c>
      <c r="EM26" t="s">
        <v>21</v>
      </c>
      <c r="EQ26">
        <v>0</v>
      </c>
      <c r="ER26">
        <v>3566.81</v>
      </c>
      <c r="ES26">
        <v>3368.37</v>
      </c>
      <c r="ET26">
        <v>57.98</v>
      </c>
      <c r="EU26">
        <v>0.57</v>
      </c>
      <c r="EV26">
        <v>140.46</v>
      </c>
      <c r="EW26">
        <v>15.12</v>
      </c>
      <c r="EX26">
        <v>0.05</v>
      </c>
      <c r="EY26">
        <v>0</v>
      </c>
      <c r="EZ26">
        <v>0</v>
      </c>
      <c r="FQ26">
        <v>0</v>
      </c>
      <c r="FR26">
        <f t="shared" si="19"/>
        <v>0</v>
      </c>
      <c r="FS26">
        <v>0</v>
      </c>
      <c r="FU26" t="s">
        <v>22</v>
      </c>
      <c r="FV26" t="s">
        <v>23</v>
      </c>
      <c r="FW26" t="s">
        <v>24</v>
      </c>
      <c r="FX26">
        <v>142</v>
      </c>
      <c r="FY26">
        <v>80.75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</row>
    <row r="27" spans="1:193" ht="12.75">
      <c r="A27">
        <v>18</v>
      </c>
      <c r="B27">
        <v>1</v>
      </c>
      <c r="C27">
        <v>20</v>
      </c>
      <c r="E27" t="s">
        <v>35</v>
      </c>
      <c r="F27" t="s">
        <v>36</v>
      </c>
      <c r="G27" t="s">
        <v>37</v>
      </c>
      <c r="H27" t="s">
        <v>38</v>
      </c>
      <c r="I27">
        <f>I26*J27</f>
        <v>-32.45844</v>
      </c>
      <c r="J27">
        <v>-7.14</v>
      </c>
      <c r="O27">
        <f t="shared" si="2"/>
        <v>-112485.3</v>
      </c>
      <c r="P27">
        <f t="shared" si="3"/>
        <v>-112485.3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1"/>
        <v>0</v>
      </c>
      <c r="AA27">
        <v>0</v>
      </c>
      <c r="AB27">
        <f t="shared" si="12"/>
        <v>455.39</v>
      </c>
      <c r="AC27">
        <f aca="true" t="shared" si="20" ref="AC27:AJ27">AL27</f>
        <v>455.39</v>
      </c>
      <c r="AD27">
        <f t="shared" si="20"/>
        <v>0</v>
      </c>
      <c r="AE27">
        <f t="shared" si="20"/>
        <v>0</v>
      </c>
      <c r="AF27">
        <f t="shared" si="20"/>
        <v>0</v>
      </c>
      <c r="AG27">
        <f t="shared" si="20"/>
        <v>0</v>
      </c>
      <c r="AH27">
        <f t="shared" si="20"/>
        <v>0</v>
      </c>
      <c r="AI27">
        <f t="shared" si="20"/>
        <v>0</v>
      </c>
      <c r="AJ27">
        <f t="shared" si="20"/>
        <v>0</v>
      </c>
      <c r="AK27">
        <v>455.39</v>
      </c>
      <c r="AL27">
        <v>455.39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121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7.61</v>
      </c>
      <c r="BH27">
        <v>3</v>
      </c>
      <c r="BI27">
        <v>1</v>
      </c>
      <c r="BJ27" t="s">
        <v>39</v>
      </c>
      <c r="BM27">
        <v>27001</v>
      </c>
      <c r="BN27">
        <v>0</v>
      </c>
      <c r="BO27" t="s">
        <v>36</v>
      </c>
      <c r="BP27">
        <v>1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142</v>
      </c>
      <c r="CA27">
        <v>95</v>
      </c>
      <c r="CF27">
        <v>0</v>
      </c>
      <c r="CG27">
        <v>0</v>
      </c>
      <c r="CM27">
        <v>0</v>
      </c>
      <c r="CO27">
        <v>0</v>
      </c>
      <c r="CP27">
        <f t="shared" si="13"/>
        <v>-112485.3</v>
      </c>
      <c r="CQ27">
        <f t="shared" si="14"/>
        <v>3465.5179</v>
      </c>
      <c r="CR27">
        <f t="shared" si="15"/>
        <v>0</v>
      </c>
      <c r="CS27">
        <f t="shared" si="16"/>
        <v>0</v>
      </c>
      <c r="CT27">
        <f t="shared" si="17"/>
        <v>0</v>
      </c>
      <c r="CU27">
        <f t="shared" si="18"/>
        <v>0</v>
      </c>
      <c r="CV27">
        <f t="shared" si="18"/>
        <v>0</v>
      </c>
      <c r="CW27">
        <f t="shared" si="18"/>
        <v>0</v>
      </c>
      <c r="CX27">
        <f t="shared" si="18"/>
        <v>0</v>
      </c>
      <c r="CY27">
        <f>((S27+R27)*(ROUND((FX27*IF(1,(IF(0,0.94,0.85)*IF(0,0.85,1)),1)),IF(1,0,2))/100))</f>
        <v>0</v>
      </c>
      <c r="CZ27">
        <f>((S27+R27)*(ROUND((FY27*IF(1,0.8,1)),IF(1,0,2))/100))</f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1009</v>
      </c>
      <c r="DV27" t="s">
        <v>38</v>
      </c>
      <c r="DW27" t="s">
        <v>38</v>
      </c>
      <c r="DX27">
        <v>1000</v>
      </c>
      <c r="EE27">
        <v>28133394</v>
      </c>
      <c r="EF27">
        <v>2</v>
      </c>
      <c r="EG27" t="s">
        <v>19</v>
      </c>
      <c r="EH27">
        <v>0</v>
      </c>
      <c r="EJ27">
        <v>1</v>
      </c>
      <c r="EK27">
        <v>27001</v>
      </c>
      <c r="EL27" t="s">
        <v>20</v>
      </c>
      <c r="EM27" t="s">
        <v>21</v>
      </c>
      <c r="EQ27">
        <v>0</v>
      </c>
      <c r="ER27">
        <v>455.39</v>
      </c>
      <c r="ES27">
        <v>455.39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19"/>
        <v>0</v>
      </c>
      <c r="FS27">
        <v>0</v>
      </c>
      <c r="FU27" t="s">
        <v>22</v>
      </c>
      <c r="FV27" t="s">
        <v>23</v>
      </c>
      <c r="FW27" t="s">
        <v>24</v>
      </c>
      <c r="FX27">
        <v>142</v>
      </c>
      <c r="FY27">
        <v>80.75</v>
      </c>
      <c r="GA27">
        <v>455.39</v>
      </c>
      <c r="GB27">
        <v>455.39</v>
      </c>
      <c r="GC27">
        <v>0</v>
      </c>
      <c r="GD27">
        <v>0</v>
      </c>
      <c r="GE27">
        <v>0</v>
      </c>
      <c r="GF27">
        <v>455.39</v>
      </c>
      <c r="GG27">
        <v>455.39</v>
      </c>
      <c r="GH27">
        <v>0</v>
      </c>
      <c r="GI27">
        <v>0</v>
      </c>
      <c r="GJ27">
        <v>0</v>
      </c>
      <c r="GK27">
        <v>0</v>
      </c>
    </row>
    <row r="28" spans="1:193" ht="12.75">
      <c r="A28">
        <v>17</v>
      </c>
      <c r="B28">
        <v>1</v>
      </c>
      <c r="E28" t="s">
        <v>40</v>
      </c>
      <c r="F28" t="s">
        <v>41</v>
      </c>
      <c r="G28" t="s">
        <v>42</v>
      </c>
      <c r="H28" t="s">
        <v>38</v>
      </c>
      <c r="I28">
        <v>32.4584</v>
      </c>
      <c r="J28">
        <v>0</v>
      </c>
      <c r="O28">
        <f t="shared" si="2"/>
        <v>75624.18</v>
      </c>
      <c r="P28">
        <f t="shared" si="3"/>
        <v>75624.18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1"/>
        <v>0</v>
      </c>
      <c r="AA28">
        <v>0</v>
      </c>
      <c r="AB28">
        <f t="shared" si="12"/>
        <v>416.05</v>
      </c>
      <c r="AC28">
        <f>(ES28)</f>
        <v>416.05</v>
      </c>
      <c r="AD28">
        <f>(ET28)</f>
        <v>0</v>
      </c>
      <c r="AE28">
        <f>(EU28)</f>
        <v>0</v>
      </c>
      <c r="AF28">
        <f>(EV28)</f>
        <v>0</v>
      </c>
      <c r="AG28">
        <f>(AP28)</f>
        <v>0</v>
      </c>
      <c r="AH28">
        <f>(EW28)</f>
        <v>0</v>
      </c>
      <c r="AI28">
        <f>(EX28)</f>
        <v>0</v>
      </c>
      <c r="AJ28">
        <f>(AS28)</f>
        <v>0</v>
      </c>
      <c r="AK28">
        <v>416.05</v>
      </c>
      <c r="AL28">
        <v>416.05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5.6</v>
      </c>
      <c r="BH28">
        <v>3</v>
      </c>
      <c r="BI28">
        <v>1</v>
      </c>
      <c r="BJ28" t="s">
        <v>43</v>
      </c>
      <c r="BM28">
        <v>500001</v>
      </c>
      <c r="BN28">
        <v>0</v>
      </c>
      <c r="BO28" t="s">
        <v>41</v>
      </c>
      <c r="BP28">
        <v>1</v>
      </c>
      <c r="BQ28">
        <v>8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13"/>
        <v>75624.18</v>
      </c>
      <c r="CQ28">
        <f t="shared" si="14"/>
        <v>2329.88</v>
      </c>
      <c r="CR28">
        <f t="shared" si="15"/>
        <v>0</v>
      </c>
      <c r="CS28">
        <f t="shared" si="16"/>
        <v>0</v>
      </c>
      <c r="CT28">
        <f t="shared" si="17"/>
        <v>0</v>
      </c>
      <c r="CU28">
        <f t="shared" si="18"/>
        <v>0</v>
      </c>
      <c r="CV28">
        <f t="shared" si="18"/>
        <v>0</v>
      </c>
      <c r="CW28">
        <f t="shared" si="18"/>
        <v>0</v>
      </c>
      <c r="CX28">
        <f t="shared" si="18"/>
        <v>0</v>
      </c>
      <c r="CY28">
        <f>(0)*BX28</f>
        <v>0</v>
      </c>
      <c r="CZ28">
        <f>(0)*AX28</f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1009</v>
      </c>
      <c r="DV28" t="s">
        <v>38</v>
      </c>
      <c r="DW28" t="s">
        <v>38</v>
      </c>
      <c r="DX28">
        <v>1000</v>
      </c>
      <c r="EE28">
        <v>28133285</v>
      </c>
      <c r="EF28">
        <v>8</v>
      </c>
      <c r="EG28" t="s">
        <v>44</v>
      </c>
      <c r="EH28">
        <v>0</v>
      </c>
      <c r="EJ28">
        <v>1</v>
      </c>
      <c r="EK28">
        <v>500001</v>
      </c>
      <c r="EL28" t="s">
        <v>45</v>
      </c>
      <c r="EM28" t="s">
        <v>46</v>
      </c>
      <c r="EQ28">
        <v>0</v>
      </c>
      <c r="ER28">
        <v>416.05</v>
      </c>
      <c r="ES28">
        <v>416.05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Q28">
        <v>0</v>
      </c>
      <c r="FR28">
        <f t="shared" si="19"/>
        <v>0</v>
      </c>
      <c r="FS28">
        <v>0</v>
      </c>
      <c r="FX28">
        <v>0</v>
      </c>
      <c r="FY28">
        <v>0</v>
      </c>
      <c r="GA28">
        <v>416.05</v>
      </c>
      <c r="GB28">
        <v>416.05</v>
      </c>
      <c r="GC28">
        <v>0</v>
      </c>
      <c r="GD28">
        <v>0</v>
      </c>
      <c r="GE28">
        <v>0</v>
      </c>
      <c r="GF28">
        <v>416.05</v>
      </c>
      <c r="GG28">
        <v>416.05</v>
      </c>
      <c r="GH28">
        <v>0</v>
      </c>
      <c r="GI28">
        <v>0</v>
      </c>
      <c r="GJ28">
        <v>0</v>
      </c>
      <c r="GK28">
        <v>0</v>
      </c>
    </row>
    <row r="29" spans="1:193" ht="12.75">
      <c r="A29">
        <v>17</v>
      </c>
      <c r="B29">
        <v>1</v>
      </c>
      <c r="C29">
        <f>ROW(SmtRes!A24)</f>
        <v>24</v>
      </c>
      <c r="D29">
        <f>ROW(EtalonRes!A24)</f>
        <v>24</v>
      </c>
      <c r="E29" t="s">
        <v>47</v>
      </c>
      <c r="F29" t="s">
        <v>48</v>
      </c>
      <c r="G29" t="s">
        <v>49</v>
      </c>
      <c r="H29" t="s">
        <v>16</v>
      </c>
      <c r="I29">
        <v>4.546</v>
      </c>
      <c r="J29">
        <v>0</v>
      </c>
      <c r="O29">
        <f t="shared" si="2"/>
        <v>84015.58</v>
      </c>
      <c r="P29">
        <f t="shared" si="3"/>
        <v>76250.28</v>
      </c>
      <c r="Q29">
        <f t="shared" si="4"/>
        <v>774.42</v>
      </c>
      <c r="R29">
        <f t="shared" si="5"/>
        <v>0</v>
      </c>
      <c r="S29">
        <f t="shared" si="6"/>
        <v>6990.88</v>
      </c>
      <c r="T29">
        <f t="shared" si="7"/>
        <v>0</v>
      </c>
      <c r="U29">
        <f t="shared" si="8"/>
        <v>42.18688</v>
      </c>
      <c r="V29">
        <f t="shared" si="9"/>
        <v>0</v>
      </c>
      <c r="W29">
        <f t="shared" si="10"/>
        <v>0</v>
      </c>
      <c r="X29">
        <f t="shared" si="11"/>
        <v>8458.96</v>
      </c>
      <c r="Y29">
        <f t="shared" si="11"/>
        <v>4544.07</v>
      </c>
      <c r="AA29">
        <v>0</v>
      </c>
      <c r="AB29">
        <f t="shared" si="12"/>
        <v>2323.8799999999997</v>
      </c>
      <c r="AC29">
        <f>((ES29*4))</f>
        <v>2204.08</v>
      </c>
      <c r="AD29">
        <f>((ET29*4))</f>
        <v>33.6</v>
      </c>
      <c r="AE29">
        <f>((EU29*4))</f>
        <v>0</v>
      </c>
      <c r="AF29">
        <f>((EV29*4))</f>
        <v>86.2</v>
      </c>
      <c r="AG29">
        <f>(AP29)</f>
        <v>0</v>
      </c>
      <c r="AH29">
        <f>((EW29*4))</f>
        <v>9.28</v>
      </c>
      <c r="AI29">
        <f>((EX29*4))</f>
        <v>0</v>
      </c>
      <c r="AJ29">
        <f>(AS29)</f>
        <v>0</v>
      </c>
      <c r="AK29">
        <v>580.9699999999999</v>
      </c>
      <c r="AL29">
        <v>551.02</v>
      </c>
      <c r="AM29">
        <v>8.4</v>
      </c>
      <c r="AN29">
        <v>0</v>
      </c>
      <c r="AO29">
        <v>21.55</v>
      </c>
      <c r="AP29">
        <v>0</v>
      </c>
      <c r="AQ29">
        <v>2.32</v>
      </c>
      <c r="AR29">
        <v>0</v>
      </c>
      <c r="AS29">
        <v>0</v>
      </c>
      <c r="AT29">
        <v>121</v>
      </c>
      <c r="AU29">
        <v>65</v>
      </c>
      <c r="AV29">
        <v>1</v>
      </c>
      <c r="AW29">
        <v>1</v>
      </c>
      <c r="AX29">
        <v>1</v>
      </c>
      <c r="AY29">
        <v>1</v>
      </c>
      <c r="AZ29">
        <v>8.51</v>
      </c>
      <c r="BA29">
        <v>17.84</v>
      </c>
      <c r="BB29">
        <v>5.07</v>
      </c>
      <c r="BC29">
        <v>7.61</v>
      </c>
      <c r="BH29">
        <v>0</v>
      </c>
      <c r="BI29">
        <v>1</v>
      </c>
      <c r="BJ29" t="s">
        <v>50</v>
      </c>
      <c r="BM29">
        <v>27001</v>
      </c>
      <c r="BN29">
        <v>0</v>
      </c>
      <c r="BO29" t="s">
        <v>48</v>
      </c>
      <c r="BP29">
        <v>1</v>
      </c>
      <c r="BQ29">
        <v>2</v>
      </c>
      <c r="BR29">
        <v>0</v>
      </c>
      <c r="BS29">
        <v>17.84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142</v>
      </c>
      <c r="CA29">
        <v>95</v>
      </c>
      <c r="CF29">
        <v>0</v>
      </c>
      <c r="CG29">
        <v>0</v>
      </c>
      <c r="CM29">
        <v>0</v>
      </c>
      <c r="CO29">
        <v>0</v>
      </c>
      <c r="CP29">
        <f t="shared" si="13"/>
        <v>84015.58</v>
      </c>
      <c r="CQ29">
        <f t="shared" si="14"/>
        <v>16773.0488</v>
      </c>
      <c r="CR29">
        <f t="shared" si="15"/>
        <v>170.352</v>
      </c>
      <c r="CS29">
        <f t="shared" si="16"/>
        <v>0</v>
      </c>
      <c r="CT29">
        <f t="shared" si="17"/>
        <v>1537.808</v>
      </c>
      <c r="CU29">
        <f t="shared" si="18"/>
        <v>0</v>
      </c>
      <c r="CV29">
        <f t="shared" si="18"/>
        <v>9.28</v>
      </c>
      <c r="CW29">
        <f t="shared" si="18"/>
        <v>0</v>
      </c>
      <c r="CX29">
        <f t="shared" si="18"/>
        <v>0</v>
      </c>
      <c r="CY29">
        <f>((S29+R29)*(ROUND((FX29*IF(1,(IF(0,0.94,0.85)*IF(0,0.85,1)),1)),IF(1,0,2))/100))</f>
        <v>8458.9648</v>
      </c>
      <c r="CZ29">
        <f>((S29+R29)*(ROUND((FY29*IF(1,0.8,1)),IF(1,0,2))/100))</f>
        <v>4544.072</v>
      </c>
      <c r="DD29" t="s">
        <v>51</v>
      </c>
      <c r="DE29" t="s">
        <v>51</v>
      </c>
      <c r="DF29" t="s">
        <v>51</v>
      </c>
      <c r="DG29" t="s">
        <v>51</v>
      </c>
      <c r="DI29" t="s">
        <v>51</v>
      </c>
      <c r="DJ29" t="s">
        <v>51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16</v>
      </c>
      <c r="DW29" t="s">
        <v>34</v>
      </c>
      <c r="DX29">
        <v>100</v>
      </c>
      <c r="EE29">
        <v>28133394</v>
      </c>
      <c r="EF29">
        <v>2</v>
      </c>
      <c r="EG29" t="s">
        <v>19</v>
      </c>
      <c r="EH29">
        <v>0</v>
      </c>
      <c r="EJ29">
        <v>1</v>
      </c>
      <c r="EK29">
        <v>27001</v>
      </c>
      <c r="EL29" t="s">
        <v>20</v>
      </c>
      <c r="EM29" t="s">
        <v>21</v>
      </c>
      <c r="EQ29">
        <v>0</v>
      </c>
      <c r="ER29">
        <v>580.97</v>
      </c>
      <c r="ES29">
        <v>551.02</v>
      </c>
      <c r="ET29">
        <v>8.4</v>
      </c>
      <c r="EU29">
        <v>0</v>
      </c>
      <c r="EV29">
        <v>21.55</v>
      </c>
      <c r="EW29">
        <v>2.32</v>
      </c>
      <c r="EX29">
        <v>0</v>
      </c>
      <c r="EY29">
        <v>0</v>
      </c>
      <c r="EZ29">
        <v>0</v>
      </c>
      <c r="FQ29">
        <v>0</v>
      </c>
      <c r="FR29">
        <f t="shared" si="19"/>
        <v>0</v>
      </c>
      <c r="FS29">
        <v>0</v>
      </c>
      <c r="FU29" t="s">
        <v>22</v>
      </c>
      <c r="FV29" t="s">
        <v>23</v>
      </c>
      <c r="FW29" t="s">
        <v>24</v>
      </c>
      <c r="FX29">
        <v>142</v>
      </c>
      <c r="FY29">
        <v>80.75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</row>
    <row r="30" spans="1:193" ht="12.75">
      <c r="A30">
        <v>18</v>
      </c>
      <c r="B30">
        <v>1</v>
      </c>
      <c r="C30">
        <v>24</v>
      </c>
      <c r="E30" t="s">
        <v>52</v>
      </c>
      <c r="F30" t="s">
        <v>36</v>
      </c>
      <c r="G30" t="s">
        <v>37</v>
      </c>
      <c r="H30" t="s">
        <v>38</v>
      </c>
      <c r="I30">
        <f>I29*J30</f>
        <v>-5.50066</v>
      </c>
      <c r="J30">
        <v>-1.21</v>
      </c>
      <c r="O30">
        <f t="shared" si="2"/>
        <v>-76250.54</v>
      </c>
      <c r="P30">
        <f t="shared" si="3"/>
        <v>-76250.54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1"/>
        <v>0</v>
      </c>
      <c r="AA30">
        <v>0</v>
      </c>
      <c r="AB30">
        <f t="shared" si="12"/>
        <v>1821.56</v>
      </c>
      <c r="AC30">
        <f>(AL30*4)</f>
        <v>1821.56</v>
      </c>
      <c r="AD30">
        <f>(AM30*4)</f>
        <v>0</v>
      </c>
      <c r="AE30">
        <f>(AN30*4)</f>
        <v>0</v>
      </c>
      <c r="AF30">
        <f>(AO30*4)</f>
        <v>0</v>
      </c>
      <c r="AG30">
        <f>AP30</f>
        <v>0</v>
      </c>
      <c r="AH30">
        <f>(AQ30*4)</f>
        <v>0</v>
      </c>
      <c r="AI30">
        <f>(AR30*4)</f>
        <v>0</v>
      </c>
      <c r="AJ30">
        <f>AS30</f>
        <v>0</v>
      </c>
      <c r="AK30">
        <v>455.39</v>
      </c>
      <c r="AL30">
        <v>455.39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121</v>
      </c>
      <c r="AU30"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7.61</v>
      </c>
      <c r="BH30">
        <v>3</v>
      </c>
      <c r="BI30">
        <v>1</v>
      </c>
      <c r="BJ30" t="s">
        <v>39</v>
      </c>
      <c r="BM30">
        <v>27001</v>
      </c>
      <c r="BN30">
        <v>0</v>
      </c>
      <c r="BO30" t="s">
        <v>36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142</v>
      </c>
      <c r="CA30">
        <v>95</v>
      </c>
      <c r="CF30">
        <v>0</v>
      </c>
      <c r="CG30">
        <v>0</v>
      </c>
      <c r="CM30">
        <v>0</v>
      </c>
      <c r="CO30">
        <v>0</v>
      </c>
      <c r="CP30">
        <f t="shared" si="13"/>
        <v>-76250.54</v>
      </c>
      <c r="CQ30">
        <f t="shared" si="14"/>
        <v>13862.0716</v>
      </c>
      <c r="CR30">
        <f t="shared" si="15"/>
        <v>0</v>
      </c>
      <c r="CS30">
        <f t="shared" si="16"/>
        <v>0</v>
      </c>
      <c r="CT30">
        <f t="shared" si="17"/>
        <v>0</v>
      </c>
      <c r="CU30">
        <f t="shared" si="18"/>
        <v>0</v>
      </c>
      <c r="CV30">
        <f t="shared" si="18"/>
        <v>0</v>
      </c>
      <c r="CW30">
        <f t="shared" si="18"/>
        <v>0</v>
      </c>
      <c r="CX30">
        <f t="shared" si="18"/>
        <v>0</v>
      </c>
      <c r="CY30">
        <f>((S30+R30)*(ROUND((FX30*IF(1,(IF(0,0.94,0.85)*IF(0,0.85,1)),1)),IF(1,0,2))/100))</f>
        <v>0</v>
      </c>
      <c r="CZ30">
        <f>((S30+R30)*(ROUND((FY30*IF(1,0.8,1)),IF(1,0,2))/100))</f>
        <v>0</v>
      </c>
      <c r="DD30" t="s">
        <v>51</v>
      </c>
      <c r="DE30" t="s">
        <v>51</v>
      </c>
      <c r="DF30" t="s">
        <v>51</v>
      </c>
      <c r="DG30" t="s">
        <v>51</v>
      </c>
      <c r="DI30" t="s">
        <v>51</v>
      </c>
      <c r="DJ30" t="s">
        <v>51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38</v>
      </c>
      <c r="DW30" t="s">
        <v>38</v>
      </c>
      <c r="DX30">
        <v>1000</v>
      </c>
      <c r="EE30">
        <v>28133394</v>
      </c>
      <c r="EF30">
        <v>2</v>
      </c>
      <c r="EG30" t="s">
        <v>19</v>
      </c>
      <c r="EH30">
        <v>0</v>
      </c>
      <c r="EJ30">
        <v>1</v>
      </c>
      <c r="EK30">
        <v>27001</v>
      </c>
      <c r="EL30" t="s">
        <v>20</v>
      </c>
      <c r="EM30" t="s">
        <v>21</v>
      </c>
      <c r="EQ30">
        <v>0</v>
      </c>
      <c r="ER30">
        <v>455.39</v>
      </c>
      <c r="ES30">
        <v>455.39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19"/>
        <v>0</v>
      </c>
      <c r="FS30">
        <v>0</v>
      </c>
      <c r="FU30" t="s">
        <v>22</v>
      </c>
      <c r="FV30" t="s">
        <v>23</v>
      </c>
      <c r="FW30" t="s">
        <v>24</v>
      </c>
      <c r="FX30">
        <v>142</v>
      </c>
      <c r="FY30">
        <v>80.75</v>
      </c>
      <c r="GA30">
        <v>455.39</v>
      </c>
      <c r="GB30">
        <v>455.39</v>
      </c>
      <c r="GC30">
        <v>0</v>
      </c>
      <c r="GD30">
        <v>0</v>
      </c>
      <c r="GE30">
        <v>0</v>
      </c>
      <c r="GF30">
        <v>1821.56</v>
      </c>
      <c r="GG30">
        <v>1821.56</v>
      </c>
      <c r="GH30">
        <v>0</v>
      </c>
      <c r="GI30">
        <v>0</v>
      </c>
      <c r="GJ30">
        <v>0</v>
      </c>
      <c r="GK30">
        <v>0</v>
      </c>
    </row>
    <row r="31" spans="1:193" ht="12.75">
      <c r="A31">
        <v>17</v>
      </c>
      <c r="B31">
        <v>1</v>
      </c>
      <c r="E31" t="s">
        <v>53</v>
      </c>
      <c r="F31" t="s">
        <v>41</v>
      </c>
      <c r="G31" t="s">
        <v>42</v>
      </c>
      <c r="H31" t="s">
        <v>38</v>
      </c>
      <c r="I31">
        <v>5.50066</v>
      </c>
      <c r="J31">
        <v>0</v>
      </c>
      <c r="O31">
        <f t="shared" si="2"/>
        <v>51263.51</v>
      </c>
      <c r="P31">
        <f t="shared" si="3"/>
        <v>51263.51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1"/>
        <v>0</v>
      </c>
      <c r="AA31">
        <v>0</v>
      </c>
      <c r="AB31">
        <f t="shared" si="12"/>
        <v>1664.2</v>
      </c>
      <c r="AC31">
        <f>((ES31*4))</f>
        <v>1664.2</v>
      </c>
      <c r="AD31">
        <f>(ET31)</f>
        <v>0</v>
      </c>
      <c r="AE31">
        <f>(EU31)</f>
        <v>0</v>
      </c>
      <c r="AF31">
        <f>(EV31)</f>
        <v>0</v>
      </c>
      <c r="AG31">
        <f>(AP31)</f>
        <v>0</v>
      </c>
      <c r="AH31">
        <f>(EW31)</f>
        <v>0</v>
      </c>
      <c r="AI31">
        <f>(EX31)</f>
        <v>0</v>
      </c>
      <c r="AJ31">
        <f>(AS31)</f>
        <v>0</v>
      </c>
      <c r="AK31">
        <v>416.05</v>
      </c>
      <c r="AL31">
        <v>416.05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5.6</v>
      </c>
      <c r="BH31">
        <v>3</v>
      </c>
      <c r="BI31">
        <v>1</v>
      </c>
      <c r="BJ31" t="s">
        <v>43</v>
      </c>
      <c r="BM31">
        <v>500001</v>
      </c>
      <c r="BN31">
        <v>0</v>
      </c>
      <c r="BO31" t="s">
        <v>41</v>
      </c>
      <c r="BP31">
        <v>1</v>
      </c>
      <c r="BQ31">
        <v>8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3"/>
        <v>51263.51</v>
      </c>
      <c r="CQ31">
        <f t="shared" si="14"/>
        <v>9319.52</v>
      </c>
      <c r="CR31">
        <f t="shared" si="15"/>
        <v>0</v>
      </c>
      <c r="CS31">
        <f t="shared" si="16"/>
        <v>0</v>
      </c>
      <c r="CT31">
        <f t="shared" si="17"/>
        <v>0</v>
      </c>
      <c r="CU31">
        <f t="shared" si="18"/>
        <v>0</v>
      </c>
      <c r="CV31">
        <f t="shared" si="18"/>
        <v>0</v>
      </c>
      <c r="CW31">
        <f t="shared" si="18"/>
        <v>0</v>
      </c>
      <c r="CX31">
        <f t="shared" si="18"/>
        <v>0</v>
      </c>
      <c r="CY31">
        <f>(0)*BX31</f>
        <v>0</v>
      </c>
      <c r="CZ31">
        <f>(0)*AX31</f>
        <v>0</v>
      </c>
      <c r="DD31" t="s">
        <v>51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38</v>
      </c>
      <c r="DW31" t="s">
        <v>38</v>
      </c>
      <c r="DX31">
        <v>1000</v>
      </c>
      <c r="EE31">
        <v>28133285</v>
      </c>
      <c r="EF31">
        <v>8</v>
      </c>
      <c r="EG31" t="s">
        <v>44</v>
      </c>
      <c r="EH31">
        <v>0</v>
      </c>
      <c r="EJ31">
        <v>1</v>
      </c>
      <c r="EK31">
        <v>500001</v>
      </c>
      <c r="EL31" t="s">
        <v>45</v>
      </c>
      <c r="EM31" t="s">
        <v>46</v>
      </c>
      <c r="EQ31">
        <v>0</v>
      </c>
      <c r="ER31">
        <v>416.05</v>
      </c>
      <c r="ES31">
        <v>416.05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Q31">
        <v>0</v>
      </c>
      <c r="FR31">
        <f t="shared" si="19"/>
        <v>0</v>
      </c>
      <c r="FS31">
        <v>0</v>
      </c>
      <c r="FX31">
        <v>0</v>
      </c>
      <c r="FY31">
        <v>0</v>
      </c>
      <c r="GA31">
        <v>416.05</v>
      </c>
      <c r="GB31">
        <v>416.05</v>
      </c>
      <c r="GC31">
        <v>0</v>
      </c>
      <c r="GD31">
        <v>0</v>
      </c>
      <c r="GE31">
        <v>0</v>
      </c>
      <c r="GF31">
        <v>1664.2</v>
      </c>
      <c r="GG31">
        <v>1664.2</v>
      </c>
      <c r="GH31">
        <v>0</v>
      </c>
      <c r="GI31">
        <v>0</v>
      </c>
      <c r="GJ31">
        <v>0</v>
      </c>
      <c r="GK31">
        <v>0</v>
      </c>
    </row>
    <row r="33" spans="1:43" ht="12.75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Новая локальная смета</v>
      </c>
      <c r="H33" s="2"/>
      <c r="I33" s="2"/>
      <c r="J33" s="2"/>
      <c r="K33" s="2"/>
      <c r="L33" s="2"/>
      <c r="M33" s="2"/>
      <c r="N33" s="2"/>
      <c r="O33" s="2">
        <f aca="true" t="shared" si="21" ref="O33:Y33">ROUND(AB33,2)</f>
        <v>213144.97</v>
      </c>
      <c r="P33" s="2">
        <f t="shared" si="21"/>
        <v>177969.1</v>
      </c>
      <c r="Q33" s="2">
        <f t="shared" si="21"/>
        <v>6438.51</v>
      </c>
      <c r="R33" s="2">
        <f t="shared" si="21"/>
        <v>1650.7</v>
      </c>
      <c r="S33" s="2">
        <f t="shared" si="21"/>
        <v>28737.36</v>
      </c>
      <c r="T33" s="2">
        <f t="shared" si="21"/>
        <v>0</v>
      </c>
      <c r="U33" s="2">
        <f t="shared" si="21"/>
        <v>179.53</v>
      </c>
      <c r="V33" s="2">
        <f t="shared" si="21"/>
        <v>8.33</v>
      </c>
      <c r="W33" s="2">
        <f t="shared" si="21"/>
        <v>0</v>
      </c>
      <c r="X33" s="2">
        <f t="shared" si="21"/>
        <v>36769.54</v>
      </c>
      <c r="Y33" s="2">
        <f t="shared" si="21"/>
        <v>19752.24</v>
      </c>
      <c r="Z33" s="2"/>
      <c r="AA33" s="2"/>
      <c r="AB33" s="2">
        <f>ROUND(SUMIF(AA24:AA31,"=0",O24:O31),2)</f>
        <v>213144.97</v>
      </c>
      <c r="AC33" s="2">
        <f>ROUND(SUMIF(AA24:AA31,"=0",P24:P31),2)</f>
        <v>177969.1</v>
      </c>
      <c r="AD33" s="2">
        <f>ROUND(SUMIF(AA24:AA31,"=0",Q24:Q31),2)</f>
        <v>6438.51</v>
      </c>
      <c r="AE33" s="2">
        <f>ROUND(SUMIF(AA24:AA31,"=0",R24:R31),2)</f>
        <v>1650.7</v>
      </c>
      <c r="AF33" s="2">
        <f>ROUND(SUMIF(AA24:AA31,"=0",S24:S31),2)</f>
        <v>28737.36</v>
      </c>
      <c r="AG33" s="2">
        <f>ROUND(SUMIF(AA24:AA31,"=0",T24:T31),2)</f>
        <v>0</v>
      </c>
      <c r="AH33" s="2">
        <f>ROUND(SUMIF(AA24:AA31,"=0",U24:U31),2)</f>
        <v>179.53</v>
      </c>
      <c r="AI33" s="2">
        <f>ROUND(SUMIF(AA24:AA31,"=0",V24:V31),2)</f>
        <v>8.33</v>
      </c>
      <c r="AJ33" s="2">
        <f>ROUND(SUMIF(AA24:AA31,"=0",W24:W31),2)</f>
        <v>0</v>
      </c>
      <c r="AK33" s="2">
        <f>ROUND(SUMIF(AA24:AA31,"=0",X24:X31),2)</f>
        <v>36769.54</v>
      </c>
      <c r="AL33" s="2">
        <f>ROUND(SUMIF(AA24:AA31,"=0",Y24:Y31),2)</f>
        <v>19752.24</v>
      </c>
      <c r="AM33" s="2"/>
      <c r="AN33" s="2">
        <f>ROUND(AO33,2)</f>
        <v>0</v>
      </c>
      <c r="AO33" s="2">
        <f>ROUND(SUMIF(AA24:AA31,"=0",FQ24:FQ31),2)</f>
        <v>0</v>
      </c>
      <c r="AP33" s="2">
        <f>ROUND(AQ33,2)</f>
        <v>0</v>
      </c>
      <c r="AQ33" s="2">
        <f>ROUND(SUM(FR24:FR31),2)</f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201</v>
      </c>
      <c r="F35" s="3">
        <f>Source!O33</f>
        <v>213144.97</v>
      </c>
      <c r="G35" s="3" t="s">
        <v>54</v>
      </c>
      <c r="H35" s="3" t="s">
        <v>55</v>
      </c>
      <c r="I35" s="3"/>
      <c r="J35" s="3"/>
      <c r="K35" s="3">
        <v>201</v>
      </c>
      <c r="L35" s="3">
        <v>1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177969.1</v>
      </c>
      <c r="G36" s="3" t="s">
        <v>56</v>
      </c>
      <c r="H36" s="3" t="s">
        <v>57</v>
      </c>
      <c r="I36" s="3"/>
      <c r="J36" s="3"/>
      <c r="K36" s="3">
        <v>202</v>
      </c>
      <c r="L36" s="3">
        <v>2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222</v>
      </c>
      <c r="F37" s="3">
        <f>Source!AN33</f>
        <v>0</v>
      </c>
      <c r="G37" s="3" t="s">
        <v>58</v>
      </c>
      <c r="H37" s="3" t="s">
        <v>59</v>
      </c>
      <c r="I37" s="3"/>
      <c r="J37" s="3"/>
      <c r="K37" s="3">
        <v>222</v>
      </c>
      <c r="L37" s="3">
        <v>3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216</v>
      </c>
      <c r="F38" s="3">
        <f>Source!AP33</f>
        <v>0</v>
      </c>
      <c r="G38" s="3" t="s">
        <v>60</v>
      </c>
      <c r="H38" s="3" t="s">
        <v>61</v>
      </c>
      <c r="I38" s="3"/>
      <c r="J38" s="3"/>
      <c r="K38" s="3">
        <v>216</v>
      </c>
      <c r="L38" s="3">
        <v>4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203</v>
      </c>
      <c r="F39" s="3">
        <f>Source!Q33</f>
        <v>6438.51</v>
      </c>
      <c r="G39" s="3" t="s">
        <v>62</v>
      </c>
      <c r="H39" s="3" t="s">
        <v>63</v>
      </c>
      <c r="I39" s="3"/>
      <c r="J39" s="3"/>
      <c r="K39" s="3">
        <v>203</v>
      </c>
      <c r="L39" s="3">
        <v>5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204</v>
      </c>
      <c r="F40" s="3">
        <f>Source!R33</f>
        <v>1650.7</v>
      </c>
      <c r="G40" s="3" t="s">
        <v>64</v>
      </c>
      <c r="H40" s="3" t="s">
        <v>65</v>
      </c>
      <c r="I40" s="3"/>
      <c r="J40" s="3"/>
      <c r="K40" s="3">
        <v>204</v>
      </c>
      <c r="L40" s="3">
        <v>6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205</v>
      </c>
      <c r="F41" s="3">
        <f>Source!S33</f>
        <v>28737.36</v>
      </c>
      <c r="G41" s="3" t="s">
        <v>66</v>
      </c>
      <c r="H41" s="3" t="s">
        <v>67</v>
      </c>
      <c r="I41" s="3"/>
      <c r="J41" s="3"/>
      <c r="K41" s="3">
        <v>205</v>
      </c>
      <c r="L41" s="3">
        <v>7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Source!T33</f>
        <v>0</v>
      </c>
      <c r="G42" s="3" t="s">
        <v>68</v>
      </c>
      <c r="H42" s="3" t="s">
        <v>69</v>
      </c>
      <c r="I42" s="3"/>
      <c r="J42" s="3"/>
      <c r="K42" s="3">
        <v>206</v>
      </c>
      <c r="L42" s="3">
        <v>8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Source!U33</f>
        <v>179.53</v>
      </c>
      <c r="G43" s="3" t="s">
        <v>70</v>
      </c>
      <c r="H43" s="3" t="s">
        <v>71</v>
      </c>
      <c r="I43" s="3"/>
      <c r="J43" s="3"/>
      <c r="K43" s="3">
        <v>207</v>
      </c>
      <c r="L43" s="3">
        <v>9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Source!V33</f>
        <v>8.33</v>
      </c>
      <c r="G44" s="3" t="s">
        <v>72</v>
      </c>
      <c r="H44" s="3" t="s">
        <v>73</v>
      </c>
      <c r="I44" s="3"/>
      <c r="J44" s="3"/>
      <c r="K44" s="3">
        <v>208</v>
      </c>
      <c r="L44" s="3">
        <v>10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Source!W33</f>
        <v>0</v>
      </c>
      <c r="G45" s="3" t="s">
        <v>74</v>
      </c>
      <c r="H45" s="3" t="s">
        <v>75</v>
      </c>
      <c r="I45" s="3"/>
      <c r="J45" s="3"/>
      <c r="K45" s="3">
        <v>209</v>
      </c>
      <c r="L45" s="3">
        <v>11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210</v>
      </c>
      <c r="F46" s="3">
        <f>Source!X33</f>
        <v>36769.54</v>
      </c>
      <c r="G46" s="3" t="s">
        <v>76</v>
      </c>
      <c r="H46" s="3" t="s">
        <v>77</v>
      </c>
      <c r="I46" s="3"/>
      <c r="J46" s="3"/>
      <c r="K46" s="3">
        <v>210</v>
      </c>
      <c r="L46" s="3">
        <v>12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211</v>
      </c>
      <c r="F47" s="3">
        <f>Source!Y33</f>
        <v>19752.24</v>
      </c>
      <c r="G47" s="3" t="s">
        <v>78</v>
      </c>
      <c r="H47" s="3" t="s">
        <v>79</v>
      </c>
      <c r="I47" s="3"/>
      <c r="J47" s="3"/>
      <c r="K47" s="3">
        <v>211</v>
      </c>
      <c r="L47" s="3">
        <v>13</v>
      </c>
      <c r="M47" s="3">
        <v>3</v>
      </c>
      <c r="N47" s="3" t="s">
        <v>3</v>
      </c>
    </row>
    <row r="49" spans="1:43" ht="12.75">
      <c r="A49" s="2">
        <v>51</v>
      </c>
      <c r="B49" s="2">
        <f>B12</f>
        <v>1</v>
      </c>
      <c r="C49" s="2">
        <f>A12</f>
        <v>1</v>
      </c>
      <c r="D49" s="2">
        <f>ROW(A12)</f>
        <v>12</v>
      </c>
      <c r="E49" s="2"/>
      <c r="F49" s="2" t="str">
        <f>IF(F12&lt;&gt;"",F12,"")</f>
        <v>Новый объект</v>
      </c>
      <c r="G49" s="2" t="str">
        <f>IF(G12&lt;&gt;"",G12,"")</f>
        <v> ремонт тротуара  от  пересечения тротуара ведущего   к  администрации до ул.Строителей д.2а  и  тротуара к д.2  по ул.1 мая</v>
      </c>
      <c r="H49" s="2"/>
      <c r="I49" s="2"/>
      <c r="J49" s="2"/>
      <c r="K49" s="2"/>
      <c r="L49" s="2"/>
      <c r="M49" s="2"/>
      <c r="N49" s="2"/>
      <c r="O49" s="2">
        <f aca="true" t="shared" si="22" ref="O49:Y49">ROUND(O33,2)</f>
        <v>213144.97</v>
      </c>
      <c r="P49" s="2">
        <f t="shared" si="22"/>
        <v>177969.1</v>
      </c>
      <c r="Q49" s="2">
        <f t="shared" si="22"/>
        <v>6438.51</v>
      </c>
      <c r="R49" s="2">
        <f t="shared" si="22"/>
        <v>1650.7</v>
      </c>
      <c r="S49" s="2">
        <f t="shared" si="22"/>
        <v>28737.36</v>
      </c>
      <c r="T49" s="2">
        <f t="shared" si="22"/>
        <v>0</v>
      </c>
      <c r="U49" s="2">
        <f t="shared" si="22"/>
        <v>179.53</v>
      </c>
      <c r="V49" s="2">
        <f t="shared" si="22"/>
        <v>8.33</v>
      </c>
      <c r="W49" s="2">
        <f t="shared" si="22"/>
        <v>0</v>
      </c>
      <c r="X49" s="2">
        <f t="shared" si="22"/>
        <v>36769.54</v>
      </c>
      <c r="Y49" s="2">
        <f t="shared" si="22"/>
        <v>19752.24</v>
      </c>
      <c r="Z49" s="2"/>
      <c r="AA49" s="2"/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/>
      <c r="AN49" s="2">
        <f>ROUND(AN33,2)</f>
        <v>0</v>
      </c>
      <c r="AO49" s="2">
        <v>0</v>
      </c>
      <c r="AP49" s="2">
        <f>ROUND(AP33,2)</f>
        <v>0</v>
      </c>
      <c r="AQ49" s="2">
        <v>0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201</v>
      </c>
      <c r="F51" s="3">
        <f>Source!O49</f>
        <v>213144.97</v>
      </c>
      <c r="G51" s="3" t="s">
        <v>54</v>
      </c>
      <c r="H51" s="3" t="s">
        <v>55</v>
      </c>
      <c r="I51" s="3"/>
      <c r="J51" s="3"/>
      <c r="K51" s="3">
        <v>201</v>
      </c>
      <c r="L51" s="3">
        <v>1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202</v>
      </c>
      <c r="F52" s="3">
        <f>Source!P49</f>
        <v>177969.1</v>
      </c>
      <c r="G52" s="3" t="s">
        <v>56</v>
      </c>
      <c r="H52" s="3" t="s">
        <v>57</v>
      </c>
      <c r="I52" s="3"/>
      <c r="J52" s="3"/>
      <c r="K52" s="3">
        <v>202</v>
      </c>
      <c r="L52" s="3">
        <v>2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222</v>
      </c>
      <c r="F53" s="3">
        <f>Source!AN49</f>
        <v>0</v>
      </c>
      <c r="G53" s="3" t="s">
        <v>58</v>
      </c>
      <c r="H53" s="3" t="s">
        <v>59</v>
      </c>
      <c r="I53" s="3"/>
      <c r="J53" s="3"/>
      <c r="K53" s="3">
        <v>222</v>
      </c>
      <c r="L53" s="3">
        <v>3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216</v>
      </c>
      <c r="F54" s="3">
        <f>Source!AP49</f>
        <v>0</v>
      </c>
      <c r="G54" s="3" t="s">
        <v>60</v>
      </c>
      <c r="H54" s="3" t="s">
        <v>61</v>
      </c>
      <c r="I54" s="3"/>
      <c r="J54" s="3"/>
      <c r="K54" s="3">
        <v>216</v>
      </c>
      <c r="L54" s="3">
        <v>4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203</v>
      </c>
      <c r="F55" s="3">
        <f>Source!Q49</f>
        <v>6438.51</v>
      </c>
      <c r="G55" s="3" t="s">
        <v>62</v>
      </c>
      <c r="H55" s="3" t="s">
        <v>63</v>
      </c>
      <c r="I55" s="3"/>
      <c r="J55" s="3"/>
      <c r="K55" s="3">
        <v>203</v>
      </c>
      <c r="L55" s="3">
        <v>5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204</v>
      </c>
      <c r="F56" s="3">
        <f>Source!R49</f>
        <v>1650.7</v>
      </c>
      <c r="G56" s="3" t="s">
        <v>64</v>
      </c>
      <c r="H56" s="3" t="s">
        <v>65</v>
      </c>
      <c r="I56" s="3"/>
      <c r="J56" s="3"/>
      <c r="K56" s="3">
        <v>204</v>
      </c>
      <c r="L56" s="3">
        <v>6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205</v>
      </c>
      <c r="F57" s="3">
        <f>Source!S49</f>
        <v>28737.36</v>
      </c>
      <c r="G57" s="3" t="s">
        <v>66</v>
      </c>
      <c r="H57" s="3" t="s">
        <v>67</v>
      </c>
      <c r="I57" s="3"/>
      <c r="J57" s="3"/>
      <c r="K57" s="3">
        <v>205</v>
      </c>
      <c r="L57" s="3">
        <v>7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206</v>
      </c>
      <c r="F58" s="3">
        <f>Source!T49</f>
        <v>0</v>
      </c>
      <c r="G58" s="3" t="s">
        <v>68</v>
      </c>
      <c r="H58" s="3" t="s">
        <v>69</v>
      </c>
      <c r="I58" s="3"/>
      <c r="J58" s="3"/>
      <c r="K58" s="3">
        <v>206</v>
      </c>
      <c r="L58" s="3">
        <v>8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207</v>
      </c>
      <c r="F59" s="3">
        <f>Source!U49</f>
        <v>179.53</v>
      </c>
      <c r="G59" s="3" t="s">
        <v>70</v>
      </c>
      <c r="H59" s="3" t="s">
        <v>71</v>
      </c>
      <c r="I59" s="3"/>
      <c r="J59" s="3"/>
      <c r="K59" s="3">
        <v>207</v>
      </c>
      <c r="L59" s="3">
        <v>9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208</v>
      </c>
      <c r="F60" s="3">
        <f>Source!V49</f>
        <v>8.33</v>
      </c>
      <c r="G60" s="3" t="s">
        <v>72</v>
      </c>
      <c r="H60" s="3" t="s">
        <v>73</v>
      </c>
      <c r="I60" s="3"/>
      <c r="J60" s="3"/>
      <c r="K60" s="3">
        <v>208</v>
      </c>
      <c r="L60" s="3">
        <v>10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209</v>
      </c>
      <c r="F61" s="3">
        <f>Source!W49</f>
        <v>0</v>
      </c>
      <c r="G61" s="3" t="s">
        <v>74</v>
      </c>
      <c r="H61" s="3" t="s">
        <v>75</v>
      </c>
      <c r="I61" s="3"/>
      <c r="J61" s="3"/>
      <c r="K61" s="3">
        <v>209</v>
      </c>
      <c r="L61" s="3">
        <v>11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210</v>
      </c>
      <c r="F62" s="3">
        <f>Source!X49</f>
        <v>36769.54</v>
      </c>
      <c r="G62" s="3" t="s">
        <v>76</v>
      </c>
      <c r="H62" s="3" t="s">
        <v>77</v>
      </c>
      <c r="I62" s="3"/>
      <c r="J62" s="3"/>
      <c r="K62" s="3">
        <v>210</v>
      </c>
      <c r="L62" s="3">
        <v>12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211</v>
      </c>
      <c r="F63" s="3">
        <f>Source!Y49</f>
        <v>19752.24</v>
      </c>
      <c r="G63" s="3" t="s">
        <v>78</v>
      </c>
      <c r="H63" s="3" t="s">
        <v>79</v>
      </c>
      <c r="I63" s="3"/>
      <c r="J63" s="3"/>
      <c r="K63" s="3">
        <v>211</v>
      </c>
      <c r="L63" s="3">
        <v>13</v>
      </c>
      <c r="M63" s="3">
        <v>3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0</v>
      </c>
      <c r="F64" s="3">
        <f>ROUND(Source!F51+Source!F62+Source!F63,2)</f>
        <v>269666.75</v>
      </c>
      <c r="G64" s="3" t="s">
        <v>80</v>
      </c>
      <c r="H64" s="3" t="s">
        <v>81</v>
      </c>
      <c r="I64" s="3"/>
      <c r="J64" s="3"/>
      <c r="K64" s="3">
        <v>212</v>
      </c>
      <c r="L64" s="3">
        <v>14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ROUND(Source!F64*0.18,2)</f>
        <v>48540.02</v>
      </c>
      <c r="G65" s="3" t="s">
        <v>82</v>
      </c>
      <c r="H65" s="3" t="s">
        <v>83</v>
      </c>
      <c r="I65" s="3"/>
      <c r="J65" s="3"/>
      <c r="K65" s="3">
        <v>212</v>
      </c>
      <c r="L65" s="3">
        <v>15</v>
      </c>
      <c r="M65" s="3">
        <v>0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213</v>
      </c>
      <c r="F66" s="3">
        <f>ROUND(Source!F64+Source!F65,2)</f>
        <v>318206.77</v>
      </c>
      <c r="G66" s="3" t="s">
        <v>84</v>
      </c>
      <c r="H66" s="3" t="s">
        <v>84</v>
      </c>
      <c r="I66" s="3"/>
      <c r="J66" s="3"/>
      <c r="K66" s="3">
        <v>212</v>
      </c>
      <c r="L66" s="3">
        <v>16</v>
      </c>
      <c r="M66" s="3">
        <v>0</v>
      </c>
      <c r="N66" s="3" t="s">
        <v>3</v>
      </c>
    </row>
    <row r="69" spans="1:14" ht="12.75">
      <c r="A69">
        <v>70</v>
      </c>
      <c r="B69">
        <v>1</v>
      </c>
      <c r="D69">
        <v>0</v>
      </c>
      <c r="E69" t="s">
        <v>85</v>
      </c>
      <c r="F69" t="s">
        <v>86</v>
      </c>
      <c r="G69">
        <v>1</v>
      </c>
      <c r="H69">
        <v>1</v>
      </c>
      <c r="I69" t="s">
        <v>87</v>
      </c>
      <c r="J69">
        <v>0</v>
      </c>
      <c r="K69">
        <v>0</v>
      </c>
      <c r="N69">
        <v>0</v>
      </c>
    </row>
    <row r="70" spans="1:14" ht="12.75">
      <c r="A70">
        <v>70</v>
      </c>
      <c r="B70">
        <v>1</v>
      </c>
      <c r="D70">
        <v>0</v>
      </c>
      <c r="E70" t="s">
        <v>88</v>
      </c>
      <c r="F70" t="s">
        <v>89</v>
      </c>
      <c r="G70">
        <v>0.85</v>
      </c>
      <c r="H70">
        <v>0.85</v>
      </c>
      <c r="I70" t="s">
        <v>90</v>
      </c>
      <c r="J70">
        <v>0</v>
      </c>
      <c r="K70">
        <v>0</v>
      </c>
      <c r="N70">
        <v>0</v>
      </c>
    </row>
    <row r="71" spans="1:14" ht="12.75">
      <c r="A71">
        <v>70</v>
      </c>
      <c r="B71">
        <v>1</v>
      </c>
      <c r="D71">
        <v>0</v>
      </c>
      <c r="E71" t="s">
        <v>91</v>
      </c>
      <c r="F71" t="s">
        <v>92</v>
      </c>
      <c r="G71">
        <v>1</v>
      </c>
      <c r="H71">
        <v>0</v>
      </c>
      <c r="I71" t="s">
        <v>93</v>
      </c>
      <c r="J71">
        <v>0</v>
      </c>
      <c r="K71">
        <v>0</v>
      </c>
      <c r="N71">
        <v>0</v>
      </c>
    </row>
    <row r="72" spans="1:14" ht="12.75">
      <c r="A72">
        <v>70</v>
      </c>
      <c r="B72">
        <v>1</v>
      </c>
      <c r="D72">
        <v>0</v>
      </c>
      <c r="E72" t="s">
        <v>94</v>
      </c>
      <c r="F72" t="s">
        <v>95</v>
      </c>
      <c r="G72">
        <v>0.85</v>
      </c>
      <c r="H72">
        <v>0.85</v>
      </c>
      <c r="I72" t="s">
        <v>96</v>
      </c>
      <c r="J72">
        <v>0</v>
      </c>
      <c r="K72">
        <v>0</v>
      </c>
      <c r="N72">
        <v>0</v>
      </c>
    </row>
    <row r="73" spans="1:14" ht="12.75">
      <c r="A73">
        <v>70</v>
      </c>
      <c r="B73">
        <v>1</v>
      </c>
      <c r="D73">
        <v>0</v>
      </c>
      <c r="E73" t="s">
        <v>97</v>
      </c>
      <c r="F73" t="s">
        <v>98</v>
      </c>
      <c r="G73">
        <v>0.8</v>
      </c>
      <c r="H73">
        <v>0.8</v>
      </c>
      <c r="I73" t="s">
        <v>99</v>
      </c>
      <c r="J73">
        <v>0</v>
      </c>
      <c r="K73">
        <v>0</v>
      </c>
      <c r="N73">
        <v>0</v>
      </c>
    </row>
    <row r="74" spans="1:14" ht="12.75">
      <c r="A74">
        <v>70</v>
      </c>
      <c r="B74">
        <v>1</v>
      </c>
      <c r="D74">
        <v>0</v>
      </c>
      <c r="E74" t="s">
        <v>100</v>
      </c>
      <c r="F74" t="s">
        <v>101</v>
      </c>
      <c r="G74">
        <v>0</v>
      </c>
      <c r="H74">
        <v>0</v>
      </c>
      <c r="I74" t="s">
        <v>102</v>
      </c>
      <c r="J74">
        <v>0</v>
      </c>
      <c r="K74">
        <v>0</v>
      </c>
      <c r="N74">
        <v>0</v>
      </c>
    </row>
    <row r="75" spans="1:14" ht="12.75">
      <c r="A75">
        <v>70</v>
      </c>
      <c r="B75">
        <v>1</v>
      </c>
      <c r="D75">
        <v>0</v>
      </c>
      <c r="E75" t="s">
        <v>103</v>
      </c>
      <c r="F75" t="s">
        <v>104</v>
      </c>
      <c r="G75">
        <v>0</v>
      </c>
      <c r="H75">
        <v>0</v>
      </c>
      <c r="I75" t="s">
        <v>105</v>
      </c>
      <c r="J75">
        <v>0</v>
      </c>
      <c r="K75">
        <v>0</v>
      </c>
      <c r="N75">
        <v>0</v>
      </c>
    </row>
    <row r="76" spans="1:14" ht="12.75">
      <c r="A76">
        <v>70</v>
      </c>
      <c r="B76">
        <v>1</v>
      </c>
      <c r="D76">
        <v>0</v>
      </c>
      <c r="E76" t="s">
        <v>106</v>
      </c>
      <c r="F76" t="s">
        <v>107</v>
      </c>
      <c r="G76">
        <v>0</v>
      </c>
      <c r="H76">
        <v>0</v>
      </c>
      <c r="I76" t="s">
        <v>108</v>
      </c>
      <c r="J76">
        <v>0</v>
      </c>
      <c r="K76">
        <v>0</v>
      </c>
      <c r="N76">
        <v>0</v>
      </c>
    </row>
    <row r="77" spans="1:14" ht="12.75">
      <c r="A77">
        <v>70</v>
      </c>
      <c r="B77">
        <v>1</v>
      </c>
      <c r="D77">
        <v>0</v>
      </c>
      <c r="E77" t="s">
        <v>109</v>
      </c>
      <c r="F77" t="s">
        <v>110</v>
      </c>
      <c r="G77">
        <v>1</v>
      </c>
      <c r="H77">
        <v>1</v>
      </c>
      <c r="I77" t="s">
        <v>111</v>
      </c>
      <c r="J77">
        <v>0</v>
      </c>
      <c r="K77">
        <v>0</v>
      </c>
      <c r="N77">
        <v>0</v>
      </c>
    </row>
    <row r="78" spans="1:14" ht="12.75">
      <c r="A78">
        <v>70</v>
      </c>
      <c r="B78">
        <v>1</v>
      </c>
      <c r="D78">
        <v>0</v>
      </c>
      <c r="E78" t="s">
        <v>112</v>
      </c>
      <c r="F78" t="s">
        <v>113</v>
      </c>
      <c r="G78">
        <v>0</v>
      </c>
      <c r="H78">
        <v>0</v>
      </c>
      <c r="I78" t="s">
        <v>114</v>
      </c>
      <c r="J78">
        <v>0</v>
      </c>
      <c r="K78">
        <v>0</v>
      </c>
      <c r="N78">
        <v>0</v>
      </c>
    </row>
    <row r="79" spans="1:14" ht="12.75">
      <c r="A79">
        <v>70</v>
      </c>
      <c r="B79">
        <v>1</v>
      </c>
      <c r="D79">
        <v>0</v>
      </c>
      <c r="E79" t="s">
        <v>115</v>
      </c>
      <c r="F79" t="s">
        <v>116</v>
      </c>
      <c r="G79">
        <v>0</v>
      </c>
      <c r="H79">
        <v>0</v>
      </c>
      <c r="I79" t="s">
        <v>117</v>
      </c>
      <c r="J79">
        <v>0</v>
      </c>
      <c r="K79">
        <v>0</v>
      </c>
      <c r="N79">
        <v>0</v>
      </c>
    </row>
    <row r="80" spans="1:14" ht="12.75">
      <c r="A80">
        <v>70</v>
      </c>
      <c r="B80">
        <v>1</v>
      </c>
      <c r="D80">
        <v>0</v>
      </c>
      <c r="E80" t="s">
        <v>118</v>
      </c>
      <c r="F80" t="s">
        <v>119</v>
      </c>
      <c r="G80">
        <v>0.94</v>
      </c>
      <c r="H80">
        <v>0.94</v>
      </c>
      <c r="I80" t="s">
        <v>120</v>
      </c>
      <c r="J80">
        <v>0</v>
      </c>
      <c r="K80">
        <v>0</v>
      </c>
      <c r="N80">
        <v>0</v>
      </c>
    </row>
    <row r="81" spans="1:14" ht="12.75">
      <c r="A81">
        <v>70</v>
      </c>
      <c r="B81">
        <v>1</v>
      </c>
      <c r="D81">
        <v>0</v>
      </c>
      <c r="E81" t="s">
        <v>121</v>
      </c>
      <c r="F81" t="s">
        <v>122</v>
      </c>
      <c r="G81">
        <v>0</v>
      </c>
      <c r="H81">
        <v>0</v>
      </c>
      <c r="I81" t="s">
        <v>123</v>
      </c>
      <c r="J81">
        <v>0</v>
      </c>
      <c r="K81">
        <v>0</v>
      </c>
      <c r="N81">
        <v>0</v>
      </c>
    </row>
    <row r="82" spans="1:14" ht="12.75">
      <c r="A82">
        <v>70</v>
      </c>
      <c r="B82">
        <v>1</v>
      </c>
      <c r="D82">
        <v>0</v>
      </c>
      <c r="E82" t="s">
        <v>124</v>
      </c>
      <c r="F82" t="s">
        <v>125</v>
      </c>
      <c r="G82">
        <v>0</v>
      </c>
      <c r="H82">
        <v>0</v>
      </c>
      <c r="I82" t="s">
        <v>126</v>
      </c>
      <c r="J82">
        <v>0</v>
      </c>
      <c r="K82">
        <v>0</v>
      </c>
      <c r="N82">
        <v>0</v>
      </c>
    </row>
    <row r="83" spans="1:14" ht="12.75">
      <c r="A83">
        <v>70</v>
      </c>
      <c r="B83">
        <v>1</v>
      </c>
      <c r="D83">
        <v>0</v>
      </c>
      <c r="E83" t="s">
        <v>127</v>
      </c>
      <c r="F83" t="s">
        <v>128</v>
      </c>
      <c r="G83">
        <v>0</v>
      </c>
      <c r="H83">
        <v>0</v>
      </c>
      <c r="I83" t="s">
        <v>129</v>
      </c>
      <c r="J83">
        <v>0</v>
      </c>
      <c r="K83">
        <v>0</v>
      </c>
      <c r="N83">
        <v>0</v>
      </c>
    </row>
    <row r="86" spans="1:5" ht="12.75">
      <c r="A86">
        <v>65</v>
      </c>
      <c r="C86">
        <v>1</v>
      </c>
      <c r="D86">
        <v>0</v>
      </c>
      <c r="E8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28315413</v>
      </c>
      <c r="C1">
        <v>28315398</v>
      </c>
      <c r="D1">
        <v>25476483</v>
      </c>
      <c r="E1">
        <v>1</v>
      </c>
      <c r="F1">
        <v>1</v>
      </c>
      <c r="G1">
        <v>1</v>
      </c>
      <c r="H1">
        <v>1</v>
      </c>
      <c r="I1" t="s">
        <v>130</v>
      </c>
      <c r="K1" t="s">
        <v>131</v>
      </c>
      <c r="L1">
        <v>1369</v>
      </c>
      <c r="N1">
        <v>1013</v>
      </c>
      <c r="O1" t="s">
        <v>132</v>
      </c>
      <c r="P1" t="s">
        <v>132</v>
      </c>
      <c r="Q1">
        <v>1</v>
      </c>
      <c r="Y1">
        <v>26.24</v>
      </c>
      <c r="AA1">
        <v>0</v>
      </c>
      <c r="AB1">
        <v>0</v>
      </c>
      <c r="AC1">
        <v>0</v>
      </c>
      <c r="AD1">
        <v>8.46</v>
      </c>
      <c r="AN1">
        <v>0</v>
      </c>
      <c r="AO1">
        <v>1</v>
      </c>
      <c r="AP1">
        <v>0</v>
      </c>
      <c r="AQ1">
        <v>0</v>
      </c>
      <c r="AR1">
        <v>0</v>
      </c>
      <c r="AT1">
        <v>26.24</v>
      </c>
      <c r="AV1">
        <v>1</v>
      </c>
      <c r="AW1">
        <v>2</v>
      </c>
      <c r="AX1">
        <v>28315413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28315414</v>
      </c>
      <c r="C2">
        <v>28315398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133</v>
      </c>
      <c r="L2">
        <v>608254</v>
      </c>
      <c r="N2">
        <v>1013</v>
      </c>
      <c r="O2" t="s">
        <v>134</v>
      </c>
      <c r="P2" t="s">
        <v>134</v>
      </c>
      <c r="Q2">
        <v>1</v>
      </c>
      <c r="Y2">
        <v>3.17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3.17</v>
      </c>
      <c r="AV2">
        <v>2</v>
      </c>
      <c r="AW2">
        <v>2</v>
      </c>
      <c r="AX2">
        <v>28315414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28315415</v>
      </c>
      <c r="C3">
        <v>28315398</v>
      </c>
      <c r="D3">
        <v>25421764</v>
      </c>
      <c r="E3">
        <v>1</v>
      </c>
      <c r="F3">
        <v>1</v>
      </c>
      <c r="G3">
        <v>1</v>
      </c>
      <c r="H3">
        <v>2</v>
      </c>
      <c r="I3" t="s">
        <v>135</v>
      </c>
      <c r="J3" t="s">
        <v>136</v>
      </c>
      <c r="K3" t="s">
        <v>137</v>
      </c>
      <c r="L3">
        <v>1368</v>
      </c>
      <c r="N3">
        <v>1011</v>
      </c>
      <c r="O3" t="s">
        <v>138</v>
      </c>
      <c r="P3" t="s">
        <v>138</v>
      </c>
      <c r="Q3">
        <v>1</v>
      </c>
      <c r="Y3">
        <v>1.15</v>
      </c>
      <c r="AA3">
        <v>0</v>
      </c>
      <c r="AB3">
        <v>99.89</v>
      </c>
      <c r="AC3">
        <v>10.06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1.15</v>
      </c>
      <c r="AV3">
        <v>0</v>
      </c>
      <c r="AW3">
        <v>2</v>
      </c>
      <c r="AX3">
        <v>28315415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28315416</v>
      </c>
      <c r="C4">
        <v>28315398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139</v>
      </c>
      <c r="J4" t="s">
        <v>140</v>
      </c>
      <c r="K4" t="s">
        <v>141</v>
      </c>
      <c r="L4">
        <v>1368</v>
      </c>
      <c r="N4">
        <v>1011</v>
      </c>
      <c r="O4" t="s">
        <v>138</v>
      </c>
      <c r="P4" t="s">
        <v>138</v>
      </c>
      <c r="Q4">
        <v>1</v>
      </c>
      <c r="Y4">
        <v>1.48</v>
      </c>
      <c r="AA4">
        <v>0</v>
      </c>
      <c r="AB4">
        <v>75</v>
      </c>
      <c r="AC4">
        <v>11.6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1.48</v>
      </c>
      <c r="AV4">
        <v>0</v>
      </c>
      <c r="AW4">
        <v>2</v>
      </c>
      <c r="AX4">
        <v>28315416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28315417</v>
      </c>
      <c r="C5">
        <v>28315398</v>
      </c>
      <c r="D5">
        <v>25422380</v>
      </c>
      <c r="E5">
        <v>1</v>
      </c>
      <c r="F5">
        <v>1</v>
      </c>
      <c r="G5">
        <v>1</v>
      </c>
      <c r="H5">
        <v>2</v>
      </c>
      <c r="I5" t="s">
        <v>142</v>
      </c>
      <c r="J5" t="s">
        <v>143</v>
      </c>
      <c r="K5" t="s">
        <v>144</v>
      </c>
      <c r="L5">
        <v>1368</v>
      </c>
      <c r="N5">
        <v>1011</v>
      </c>
      <c r="O5" t="s">
        <v>138</v>
      </c>
      <c r="P5" t="s">
        <v>138</v>
      </c>
      <c r="Q5">
        <v>1</v>
      </c>
      <c r="Y5">
        <v>0.54</v>
      </c>
      <c r="AA5">
        <v>0</v>
      </c>
      <c r="AB5">
        <v>110</v>
      </c>
      <c r="AC5">
        <v>11.6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0.54</v>
      </c>
      <c r="AV5">
        <v>0</v>
      </c>
      <c r="AW5">
        <v>2</v>
      </c>
      <c r="AX5">
        <v>28315417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28315418</v>
      </c>
      <c r="C6">
        <v>28315398</v>
      </c>
      <c r="D6">
        <v>25442980</v>
      </c>
      <c r="E6">
        <v>1</v>
      </c>
      <c r="F6">
        <v>1</v>
      </c>
      <c r="G6">
        <v>1</v>
      </c>
      <c r="H6">
        <v>3</v>
      </c>
      <c r="I6" t="s">
        <v>145</v>
      </c>
      <c r="J6" t="s">
        <v>146</v>
      </c>
      <c r="K6" t="s">
        <v>147</v>
      </c>
      <c r="L6">
        <v>1339</v>
      </c>
      <c r="N6">
        <v>1007</v>
      </c>
      <c r="O6" t="s">
        <v>148</v>
      </c>
      <c r="P6" t="s">
        <v>148</v>
      </c>
      <c r="Q6">
        <v>1</v>
      </c>
      <c r="Y6">
        <v>17.4</v>
      </c>
      <c r="AA6">
        <v>145.8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17.4</v>
      </c>
      <c r="AV6">
        <v>0</v>
      </c>
      <c r="AW6">
        <v>2</v>
      </c>
      <c r="AX6">
        <v>28315418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28315419</v>
      </c>
      <c r="C7">
        <v>28315398</v>
      </c>
      <c r="D7">
        <v>25443135</v>
      </c>
      <c r="E7">
        <v>1</v>
      </c>
      <c r="F7">
        <v>1</v>
      </c>
      <c r="G7">
        <v>1</v>
      </c>
      <c r="H7">
        <v>3</v>
      </c>
      <c r="I7" t="s">
        <v>149</v>
      </c>
      <c r="J7" t="s">
        <v>150</v>
      </c>
      <c r="K7" t="s">
        <v>151</v>
      </c>
      <c r="L7">
        <v>1339</v>
      </c>
      <c r="N7">
        <v>1007</v>
      </c>
      <c r="O7" t="s">
        <v>148</v>
      </c>
      <c r="P7" t="s">
        <v>148</v>
      </c>
      <c r="Q7">
        <v>1</v>
      </c>
      <c r="Y7">
        <v>2</v>
      </c>
      <c r="AA7">
        <v>2.44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2</v>
      </c>
      <c r="AV7">
        <v>0</v>
      </c>
      <c r="AW7">
        <v>2</v>
      </c>
      <c r="AX7">
        <v>28315419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ROW(Source!A25)</f>
        <v>25</v>
      </c>
      <c r="B8">
        <v>28315407</v>
      </c>
      <c r="C8">
        <v>28315406</v>
      </c>
      <c r="D8">
        <v>25476483</v>
      </c>
      <c r="E8">
        <v>1</v>
      </c>
      <c r="F8">
        <v>1</v>
      </c>
      <c r="G8">
        <v>1</v>
      </c>
      <c r="H8">
        <v>1</v>
      </c>
      <c r="I8" t="s">
        <v>130</v>
      </c>
      <c r="K8" t="s">
        <v>131</v>
      </c>
      <c r="L8">
        <v>1369</v>
      </c>
      <c r="N8">
        <v>1013</v>
      </c>
      <c r="O8" t="s">
        <v>132</v>
      </c>
      <c r="P8" t="s">
        <v>132</v>
      </c>
      <c r="Q8">
        <v>1</v>
      </c>
      <c r="Y8">
        <v>-1.08</v>
      </c>
      <c r="AA8">
        <v>0</v>
      </c>
      <c r="AB8">
        <v>0</v>
      </c>
      <c r="AC8">
        <v>0</v>
      </c>
      <c r="AD8">
        <v>8.46</v>
      </c>
      <c r="AN8">
        <v>0</v>
      </c>
      <c r="AO8">
        <v>1</v>
      </c>
      <c r="AP8">
        <v>1</v>
      </c>
      <c r="AQ8">
        <v>0</v>
      </c>
      <c r="AR8">
        <v>0</v>
      </c>
      <c r="AT8">
        <v>0.54</v>
      </c>
      <c r="AU8" t="s">
        <v>29</v>
      </c>
      <c r="AV8">
        <v>1</v>
      </c>
      <c r="AW8">
        <v>2</v>
      </c>
      <c r="AX8">
        <v>28315407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ROW(Source!A25)</f>
        <v>25</v>
      </c>
      <c r="B9">
        <v>28315408</v>
      </c>
      <c r="C9">
        <v>28315406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133</v>
      </c>
      <c r="L9">
        <v>608254</v>
      </c>
      <c r="N9">
        <v>1013</v>
      </c>
      <c r="O9" t="s">
        <v>134</v>
      </c>
      <c r="P9" t="s">
        <v>134</v>
      </c>
      <c r="Q9">
        <v>1</v>
      </c>
      <c r="Y9">
        <v>-0.2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0.1</v>
      </c>
      <c r="AU9" t="s">
        <v>29</v>
      </c>
      <c r="AV9">
        <v>2</v>
      </c>
      <c r="AW9">
        <v>2</v>
      </c>
      <c r="AX9">
        <v>28315408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ROW(Source!A25)</f>
        <v>25</v>
      </c>
      <c r="B10">
        <v>28315409</v>
      </c>
      <c r="C10">
        <v>28315406</v>
      </c>
      <c r="D10">
        <v>25421764</v>
      </c>
      <c r="E10">
        <v>1</v>
      </c>
      <c r="F10">
        <v>1</v>
      </c>
      <c r="G10">
        <v>1</v>
      </c>
      <c r="H10">
        <v>2</v>
      </c>
      <c r="I10" t="s">
        <v>135</v>
      </c>
      <c r="J10" t="s">
        <v>136</v>
      </c>
      <c r="K10" t="s">
        <v>137</v>
      </c>
      <c r="L10">
        <v>1368</v>
      </c>
      <c r="N10">
        <v>1011</v>
      </c>
      <c r="O10" t="s">
        <v>138</v>
      </c>
      <c r="P10" t="s">
        <v>138</v>
      </c>
      <c r="Q10">
        <v>1</v>
      </c>
      <c r="Y10">
        <v>-0.2</v>
      </c>
      <c r="AA10">
        <v>0</v>
      </c>
      <c r="AB10">
        <v>99.89</v>
      </c>
      <c r="AC10">
        <v>10.06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</v>
      </c>
      <c r="AU10" t="s">
        <v>29</v>
      </c>
      <c r="AV10">
        <v>0</v>
      </c>
      <c r="AW10">
        <v>2</v>
      </c>
      <c r="AX10">
        <v>28315409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ROW(Source!A25)</f>
        <v>25</v>
      </c>
      <c r="B11">
        <v>28315410</v>
      </c>
      <c r="C11">
        <v>28315406</v>
      </c>
      <c r="D11">
        <v>25442980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1339</v>
      </c>
      <c r="N11">
        <v>1007</v>
      </c>
      <c r="O11" t="s">
        <v>148</v>
      </c>
      <c r="P11" t="s">
        <v>148</v>
      </c>
      <c r="Q11">
        <v>1</v>
      </c>
      <c r="Y11">
        <v>-3</v>
      </c>
      <c r="AA11">
        <v>145.8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1.5</v>
      </c>
      <c r="AU11" t="s">
        <v>29</v>
      </c>
      <c r="AV11">
        <v>0</v>
      </c>
      <c r="AW11">
        <v>2</v>
      </c>
      <c r="AX11">
        <v>28315410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28315186</v>
      </c>
      <c r="C12">
        <v>28315185</v>
      </c>
      <c r="D12">
        <v>25476096</v>
      </c>
      <c r="E12">
        <v>1</v>
      </c>
      <c r="F12">
        <v>1</v>
      </c>
      <c r="G12">
        <v>1</v>
      </c>
      <c r="H12">
        <v>1</v>
      </c>
      <c r="I12" t="s">
        <v>152</v>
      </c>
      <c r="K12" t="s">
        <v>153</v>
      </c>
      <c r="L12">
        <v>1369</v>
      </c>
      <c r="N12">
        <v>1013</v>
      </c>
      <c r="O12" t="s">
        <v>132</v>
      </c>
      <c r="P12" t="s">
        <v>132</v>
      </c>
      <c r="Q12">
        <v>1</v>
      </c>
      <c r="Y12">
        <v>15.12</v>
      </c>
      <c r="AA12">
        <v>0</v>
      </c>
      <c r="AB12">
        <v>0</v>
      </c>
      <c r="AC12">
        <v>0</v>
      </c>
      <c r="AD12">
        <v>9.29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15.12</v>
      </c>
      <c r="AV12">
        <v>1</v>
      </c>
      <c r="AW12">
        <v>2</v>
      </c>
      <c r="AX12">
        <v>28315186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28315187</v>
      </c>
      <c r="C13">
        <v>28315185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25</v>
      </c>
      <c r="K13" t="s">
        <v>133</v>
      </c>
      <c r="L13">
        <v>608254</v>
      </c>
      <c r="N13">
        <v>1013</v>
      </c>
      <c r="O13" t="s">
        <v>134</v>
      </c>
      <c r="P13" t="s">
        <v>134</v>
      </c>
      <c r="Q13">
        <v>1</v>
      </c>
      <c r="Y13">
        <v>0.05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0.05</v>
      </c>
      <c r="AV13">
        <v>2</v>
      </c>
      <c r="AW13">
        <v>2</v>
      </c>
      <c r="AX13">
        <v>28315187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28315188</v>
      </c>
      <c r="C14">
        <v>28315185</v>
      </c>
      <c r="D14">
        <v>25421695</v>
      </c>
      <c r="E14">
        <v>1</v>
      </c>
      <c r="F14">
        <v>1</v>
      </c>
      <c r="G14">
        <v>1</v>
      </c>
      <c r="H14">
        <v>2</v>
      </c>
      <c r="I14" t="s">
        <v>154</v>
      </c>
      <c r="J14" t="s">
        <v>155</v>
      </c>
      <c r="K14" t="s">
        <v>156</v>
      </c>
      <c r="L14">
        <v>1368</v>
      </c>
      <c r="N14">
        <v>1011</v>
      </c>
      <c r="O14" t="s">
        <v>138</v>
      </c>
      <c r="P14" t="s">
        <v>138</v>
      </c>
      <c r="Q14">
        <v>1</v>
      </c>
      <c r="Y14">
        <v>0.02</v>
      </c>
      <c r="AA14">
        <v>0</v>
      </c>
      <c r="AB14">
        <v>112</v>
      </c>
      <c r="AC14">
        <v>13.5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0.02</v>
      </c>
      <c r="AV14">
        <v>0</v>
      </c>
      <c r="AW14">
        <v>2</v>
      </c>
      <c r="AX14">
        <v>28315188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28315189</v>
      </c>
      <c r="C15">
        <v>28315185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135</v>
      </c>
      <c r="J15" t="s">
        <v>136</v>
      </c>
      <c r="K15" t="s">
        <v>137</v>
      </c>
      <c r="L15">
        <v>1368</v>
      </c>
      <c r="N15">
        <v>1011</v>
      </c>
      <c r="O15" t="s">
        <v>138</v>
      </c>
      <c r="P15" t="s">
        <v>138</v>
      </c>
      <c r="Q15">
        <v>1</v>
      </c>
      <c r="Y15">
        <v>0.03</v>
      </c>
      <c r="AA15">
        <v>0</v>
      </c>
      <c r="AB15">
        <v>99.89</v>
      </c>
      <c r="AC15">
        <v>10.06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0.03</v>
      </c>
      <c r="AV15">
        <v>0</v>
      </c>
      <c r="AW15">
        <v>2</v>
      </c>
      <c r="AX15">
        <v>28315189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28315190</v>
      </c>
      <c r="C16">
        <v>28315185</v>
      </c>
      <c r="D16">
        <v>25422432</v>
      </c>
      <c r="E16">
        <v>1</v>
      </c>
      <c r="F16">
        <v>1</v>
      </c>
      <c r="G16">
        <v>1</v>
      </c>
      <c r="H16">
        <v>2</v>
      </c>
      <c r="I16" t="s">
        <v>157</v>
      </c>
      <c r="J16" t="s">
        <v>158</v>
      </c>
      <c r="K16" t="s">
        <v>159</v>
      </c>
      <c r="L16">
        <v>1368</v>
      </c>
      <c r="N16">
        <v>1011</v>
      </c>
      <c r="O16" t="s">
        <v>138</v>
      </c>
      <c r="P16" t="s">
        <v>138</v>
      </c>
      <c r="Q16">
        <v>1</v>
      </c>
      <c r="Y16">
        <v>0.85</v>
      </c>
      <c r="AA16">
        <v>0</v>
      </c>
      <c r="AB16">
        <v>60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0.85</v>
      </c>
      <c r="AV16">
        <v>0</v>
      </c>
      <c r="AW16">
        <v>2</v>
      </c>
      <c r="AX16">
        <v>28315190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28315191</v>
      </c>
      <c r="C17">
        <v>28315185</v>
      </c>
      <c r="D17">
        <v>25423431</v>
      </c>
      <c r="E17">
        <v>1</v>
      </c>
      <c r="F17">
        <v>1</v>
      </c>
      <c r="G17">
        <v>1</v>
      </c>
      <c r="H17">
        <v>2</v>
      </c>
      <c r="I17" t="s">
        <v>160</v>
      </c>
      <c r="J17" t="s">
        <v>161</v>
      </c>
      <c r="K17" t="s">
        <v>162</v>
      </c>
      <c r="L17">
        <v>1368</v>
      </c>
      <c r="N17">
        <v>1011</v>
      </c>
      <c r="O17" t="s">
        <v>138</v>
      </c>
      <c r="P17" t="s">
        <v>138</v>
      </c>
      <c r="Q17">
        <v>1</v>
      </c>
      <c r="Y17">
        <v>0.02</v>
      </c>
      <c r="AA17">
        <v>0</v>
      </c>
      <c r="AB17">
        <v>87.17</v>
      </c>
      <c r="AC17">
        <v>11.6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0.02</v>
      </c>
      <c r="AV17">
        <v>0</v>
      </c>
      <c r="AW17">
        <v>2</v>
      </c>
      <c r="AX17">
        <v>28315191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28315192</v>
      </c>
      <c r="C18">
        <v>28315185</v>
      </c>
      <c r="D18">
        <v>25425158</v>
      </c>
      <c r="E18">
        <v>1</v>
      </c>
      <c r="F18">
        <v>1</v>
      </c>
      <c r="G18">
        <v>1</v>
      </c>
      <c r="H18">
        <v>3</v>
      </c>
      <c r="I18" t="s">
        <v>163</v>
      </c>
      <c r="J18" t="s">
        <v>164</v>
      </c>
      <c r="K18" t="s">
        <v>165</v>
      </c>
      <c r="L18">
        <v>1348</v>
      </c>
      <c r="N18">
        <v>1009</v>
      </c>
      <c r="O18" t="s">
        <v>38</v>
      </c>
      <c r="P18" t="s">
        <v>38</v>
      </c>
      <c r="Q18">
        <v>1000</v>
      </c>
      <c r="Y18">
        <v>0.06</v>
      </c>
      <c r="AA18">
        <v>1487.61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0.06</v>
      </c>
      <c r="AV18">
        <v>0</v>
      </c>
      <c r="AW18">
        <v>2</v>
      </c>
      <c r="AX18">
        <v>28315192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ROW(Source!A26)</f>
        <v>26</v>
      </c>
      <c r="B19">
        <v>28315193</v>
      </c>
      <c r="C19">
        <v>28315185</v>
      </c>
      <c r="D19">
        <v>25442884</v>
      </c>
      <c r="E19">
        <v>1</v>
      </c>
      <c r="F19">
        <v>1</v>
      </c>
      <c r="G19">
        <v>1</v>
      </c>
      <c r="H19">
        <v>3</v>
      </c>
      <c r="I19" t="s">
        <v>166</v>
      </c>
      <c r="J19" t="s">
        <v>167</v>
      </c>
      <c r="K19" t="s">
        <v>168</v>
      </c>
      <c r="L19">
        <v>1339</v>
      </c>
      <c r="N19">
        <v>1007</v>
      </c>
      <c r="O19" t="s">
        <v>148</v>
      </c>
      <c r="P19" t="s">
        <v>148</v>
      </c>
      <c r="Q19">
        <v>1</v>
      </c>
      <c r="Y19">
        <v>0.5</v>
      </c>
      <c r="AA19">
        <v>55.26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0.5</v>
      </c>
      <c r="AV19">
        <v>0</v>
      </c>
      <c r="AW19">
        <v>2</v>
      </c>
      <c r="AX19">
        <v>28315193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ROW(Source!A26)</f>
        <v>26</v>
      </c>
      <c r="B20">
        <v>28315194</v>
      </c>
      <c r="C20">
        <v>28315185</v>
      </c>
      <c r="D20">
        <v>25443092</v>
      </c>
      <c r="E20">
        <v>1</v>
      </c>
      <c r="F20">
        <v>1</v>
      </c>
      <c r="G20">
        <v>1</v>
      </c>
      <c r="H20">
        <v>3</v>
      </c>
      <c r="I20" t="s">
        <v>36</v>
      </c>
      <c r="J20" t="s">
        <v>39</v>
      </c>
      <c r="K20" t="s">
        <v>37</v>
      </c>
      <c r="L20">
        <v>1348</v>
      </c>
      <c r="N20">
        <v>1009</v>
      </c>
      <c r="O20" t="s">
        <v>38</v>
      </c>
      <c r="P20" t="s">
        <v>38</v>
      </c>
      <c r="Q20">
        <v>1000</v>
      </c>
      <c r="Y20">
        <v>-7.14</v>
      </c>
      <c r="AA20">
        <v>455.39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-7.14</v>
      </c>
      <c r="AV20">
        <v>0</v>
      </c>
      <c r="AW20">
        <v>2</v>
      </c>
      <c r="AX20">
        <v>28315194</v>
      </c>
      <c r="AY20">
        <v>2</v>
      </c>
      <c r="AZ20">
        <v>12288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ROW(Source!A29)</f>
        <v>29</v>
      </c>
      <c r="B21">
        <v>28315196</v>
      </c>
      <c r="C21">
        <v>28315195</v>
      </c>
      <c r="D21">
        <v>25476096</v>
      </c>
      <c r="E21">
        <v>1</v>
      </c>
      <c r="F21">
        <v>1</v>
      </c>
      <c r="G21">
        <v>1</v>
      </c>
      <c r="H21">
        <v>1</v>
      </c>
      <c r="I21" t="s">
        <v>152</v>
      </c>
      <c r="K21" t="s">
        <v>153</v>
      </c>
      <c r="L21">
        <v>1369</v>
      </c>
      <c r="N21">
        <v>1013</v>
      </c>
      <c r="O21" t="s">
        <v>132</v>
      </c>
      <c r="P21" t="s">
        <v>132</v>
      </c>
      <c r="Q21">
        <v>1</v>
      </c>
      <c r="Y21">
        <v>9.28</v>
      </c>
      <c r="AA21">
        <v>0</v>
      </c>
      <c r="AB21">
        <v>0</v>
      </c>
      <c r="AC21">
        <v>0</v>
      </c>
      <c r="AD21">
        <v>9.29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2.32</v>
      </c>
      <c r="AU21" t="s">
        <v>51</v>
      </c>
      <c r="AV21">
        <v>1</v>
      </c>
      <c r="AW21">
        <v>2</v>
      </c>
      <c r="AX21">
        <v>28315196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ROW(Source!A29)</f>
        <v>29</v>
      </c>
      <c r="B22">
        <v>28315197</v>
      </c>
      <c r="C22">
        <v>28315195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133</v>
      </c>
      <c r="L22">
        <v>608254</v>
      </c>
      <c r="N22">
        <v>1013</v>
      </c>
      <c r="O22" t="s">
        <v>134</v>
      </c>
      <c r="P22" t="s">
        <v>134</v>
      </c>
      <c r="Q22">
        <v>1</v>
      </c>
      <c r="Y22">
        <v>0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</v>
      </c>
      <c r="AU22" t="s">
        <v>51</v>
      </c>
      <c r="AV22">
        <v>2</v>
      </c>
      <c r="AW22">
        <v>2</v>
      </c>
      <c r="AX22">
        <v>28315197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ROW(Source!A29)</f>
        <v>29</v>
      </c>
      <c r="B23">
        <v>28315198</v>
      </c>
      <c r="C23">
        <v>28315195</v>
      </c>
      <c r="D23">
        <v>25422432</v>
      </c>
      <c r="E23">
        <v>1</v>
      </c>
      <c r="F23">
        <v>1</v>
      </c>
      <c r="G23">
        <v>1</v>
      </c>
      <c r="H23">
        <v>2</v>
      </c>
      <c r="I23" t="s">
        <v>157</v>
      </c>
      <c r="J23" t="s">
        <v>158</v>
      </c>
      <c r="K23" t="s">
        <v>159</v>
      </c>
      <c r="L23">
        <v>1368</v>
      </c>
      <c r="N23">
        <v>1011</v>
      </c>
      <c r="O23" t="s">
        <v>138</v>
      </c>
      <c r="P23" t="s">
        <v>138</v>
      </c>
      <c r="Q23">
        <v>1</v>
      </c>
      <c r="Y23">
        <v>0.56</v>
      </c>
      <c r="AA23">
        <v>0</v>
      </c>
      <c r="AB23">
        <v>60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0.14</v>
      </c>
      <c r="AU23" t="s">
        <v>51</v>
      </c>
      <c r="AV23">
        <v>0</v>
      </c>
      <c r="AW23">
        <v>2</v>
      </c>
      <c r="AX23">
        <v>28315198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ROW(Source!A29)</f>
        <v>29</v>
      </c>
      <c r="B24">
        <v>28315199</v>
      </c>
      <c r="C24">
        <v>28315195</v>
      </c>
      <c r="D24">
        <v>25443092</v>
      </c>
      <c r="E24">
        <v>1</v>
      </c>
      <c r="F24">
        <v>1</v>
      </c>
      <c r="G24">
        <v>1</v>
      </c>
      <c r="H24">
        <v>3</v>
      </c>
      <c r="I24" t="s">
        <v>36</v>
      </c>
      <c r="J24" t="s">
        <v>39</v>
      </c>
      <c r="K24" t="s">
        <v>37</v>
      </c>
      <c r="L24">
        <v>1348</v>
      </c>
      <c r="N24">
        <v>1009</v>
      </c>
      <c r="O24" t="s">
        <v>38</v>
      </c>
      <c r="P24" t="s">
        <v>38</v>
      </c>
      <c r="Q24">
        <v>1000</v>
      </c>
      <c r="Y24">
        <v>-1.21</v>
      </c>
      <c r="AA24">
        <v>455.39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-1.21</v>
      </c>
      <c r="AV24">
        <v>0</v>
      </c>
      <c r="AW24">
        <v>2</v>
      </c>
      <c r="AX24">
        <v>28315199</v>
      </c>
      <c r="AY24">
        <v>2</v>
      </c>
      <c r="AZ24">
        <v>12288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28315413</v>
      </c>
      <c r="C1">
        <v>28315398</v>
      </c>
      <c r="D1">
        <v>25476483</v>
      </c>
      <c r="E1">
        <v>1</v>
      </c>
      <c r="F1">
        <v>1</v>
      </c>
      <c r="G1">
        <v>1</v>
      </c>
      <c r="H1">
        <v>1</v>
      </c>
      <c r="I1" t="s">
        <v>130</v>
      </c>
      <c r="K1" t="s">
        <v>131</v>
      </c>
      <c r="L1">
        <v>1369</v>
      </c>
      <c r="N1">
        <v>1013</v>
      </c>
      <c r="O1" t="s">
        <v>132</v>
      </c>
      <c r="P1" t="s">
        <v>132</v>
      </c>
      <c r="Q1">
        <v>1</v>
      </c>
      <c r="X1">
        <v>26.24</v>
      </c>
      <c r="Y1">
        <v>0</v>
      </c>
      <c r="Z1">
        <v>0</v>
      </c>
      <c r="AA1">
        <v>0</v>
      </c>
      <c r="AB1">
        <v>8.46</v>
      </c>
      <c r="AC1">
        <v>0</v>
      </c>
      <c r="AD1">
        <v>1</v>
      </c>
      <c r="AE1">
        <v>1</v>
      </c>
      <c r="AG1">
        <v>26.24</v>
      </c>
      <c r="AH1">
        <v>2</v>
      </c>
      <c r="AI1">
        <v>28315413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28315414</v>
      </c>
      <c r="C2">
        <v>28315398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133</v>
      </c>
      <c r="L2">
        <v>608254</v>
      </c>
      <c r="N2">
        <v>1013</v>
      </c>
      <c r="O2" t="s">
        <v>134</v>
      </c>
      <c r="P2" t="s">
        <v>134</v>
      </c>
      <c r="Q2">
        <v>1</v>
      </c>
      <c r="X2">
        <v>3.17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3.17</v>
      </c>
      <c r="AH2">
        <v>2</v>
      </c>
      <c r="AI2">
        <v>28315414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28315415</v>
      </c>
      <c r="C3">
        <v>28315398</v>
      </c>
      <c r="D3">
        <v>25421764</v>
      </c>
      <c r="E3">
        <v>1</v>
      </c>
      <c r="F3">
        <v>1</v>
      </c>
      <c r="G3">
        <v>1</v>
      </c>
      <c r="H3">
        <v>2</v>
      </c>
      <c r="I3" t="s">
        <v>135</v>
      </c>
      <c r="J3" t="s">
        <v>136</v>
      </c>
      <c r="K3" t="s">
        <v>137</v>
      </c>
      <c r="L3">
        <v>1368</v>
      </c>
      <c r="N3">
        <v>1011</v>
      </c>
      <c r="O3" t="s">
        <v>138</v>
      </c>
      <c r="P3" t="s">
        <v>138</v>
      </c>
      <c r="Q3">
        <v>1</v>
      </c>
      <c r="X3">
        <v>1.15</v>
      </c>
      <c r="Y3">
        <v>0</v>
      </c>
      <c r="Z3">
        <v>99.89</v>
      </c>
      <c r="AA3">
        <v>10.06</v>
      </c>
      <c r="AB3">
        <v>0</v>
      </c>
      <c r="AC3">
        <v>0</v>
      </c>
      <c r="AD3">
        <v>1</v>
      </c>
      <c r="AE3">
        <v>0</v>
      </c>
      <c r="AG3">
        <v>1.15</v>
      </c>
      <c r="AH3">
        <v>2</v>
      </c>
      <c r="AI3">
        <v>28315415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28315416</v>
      </c>
      <c r="C4">
        <v>28315398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139</v>
      </c>
      <c r="J4" t="s">
        <v>140</v>
      </c>
      <c r="K4" t="s">
        <v>141</v>
      </c>
      <c r="L4">
        <v>1368</v>
      </c>
      <c r="N4">
        <v>1011</v>
      </c>
      <c r="O4" t="s">
        <v>138</v>
      </c>
      <c r="P4" t="s">
        <v>138</v>
      </c>
      <c r="Q4">
        <v>1</v>
      </c>
      <c r="X4">
        <v>1.48</v>
      </c>
      <c r="Y4">
        <v>0</v>
      </c>
      <c r="Z4">
        <v>75</v>
      </c>
      <c r="AA4">
        <v>11.6</v>
      </c>
      <c r="AB4">
        <v>0</v>
      </c>
      <c r="AC4">
        <v>0</v>
      </c>
      <c r="AD4">
        <v>1</v>
      </c>
      <c r="AE4">
        <v>0</v>
      </c>
      <c r="AG4">
        <v>1.48</v>
      </c>
      <c r="AH4">
        <v>2</v>
      </c>
      <c r="AI4">
        <v>28315416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28315417</v>
      </c>
      <c r="C5">
        <v>28315398</v>
      </c>
      <c r="D5">
        <v>25422380</v>
      </c>
      <c r="E5">
        <v>1</v>
      </c>
      <c r="F5">
        <v>1</v>
      </c>
      <c r="G5">
        <v>1</v>
      </c>
      <c r="H5">
        <v>2</v>
      </c>
      <c r="I5" t="s">
        <v>142</v>
      </c>
      <c r="J5" t="s">
        <v>143</v>
      </c>
      <c r="K5" t="s">
        <v>144</v>
      </c>
      <c r="L5">
        <v>1368</v>
      </c>
      <c r="N5">
        <v>1011</v>
      </c>
      <c r="O5" t="s">
        <v>138</v>
      </c>
      <c r="P5" t="s">
        <v>138</v>
      </c>
      <c r="Q5">
        <v>1</v>
      </c>
      <c r="X5">
        <v>0.54</v>
      </c>
      <c r="Y5">
        <v>0</v>
      </c>
      <c r="Z5">
        <v>110</v>
      </c>
      <c r="AA5">
        <v>11.6</v>
      </c>
      <c r="AB5">
        <v>0</v>
      </c>
      <c r="AC5">
        <v>0</v>
      </c>
      <c r="AD5">
        <v>1</v>
      </c>
      <c r="AE5">
        <v>0</v>
      </c>
      <c r="AG5">
        <v>0.54</v>
      </c>
      <c r="AH5">
        <v>2</v>
      </c>
      <c r="AI5">
        <v>28315417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28315418</v>
      </c>
      <c r="C6">
        <v>28315398</v>
      </c>
      <c r="D6">
        <v>25442980</v>
      </c>
      <c r="E6">
        <v>1</v>
      </c>
      <c r="F6">
        <v>1</v>
      </c>
      <c r="G6">
        <v>1</v>
      </c>
      <c r="H6">
        <v>3</v>
      </c>
      <c r="I6" t="s">
        <v>145</v>
      </c>
      <c r="J6" t="s">
        <v>146</v>
      </c>
      <c r="K6" t="s">
        <v>147</v>
      </c>
      <c r="L6">
        <v>1339</v>
      </c>
      <c r="N6">
        <v>1007</v>
      </c>
      <c r="O6" t="s">
        <v>148</v>
      </c>
      <c r="P6" t="s">
        <v>148</v>
      </c>
      <c r="Q6">
        <v>1</v>
      </c>
      <c r="X6">
        <v>17.4</v>
      </c>
      <c r="Y6">
        <v>145.8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17.4</v>
      </c>
      <c r="AH6">
        <v>2</v>
      </c>
      <c r="AI6">
        <v>28315418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28315419</v>
      </c>
      <c r="C7">
        <v>28315398</v>
      </c>
      <c r="D7">
        <v>25443135</v>
      </c>
      <c r="E7">
        <v>1</v>
      </c>
      <c r="F7">
        <v>1</v>
      </c>
      <c r="G7">
        <v>1</v>
      </c>
      <c r="H7">
        <v>3</v>
      </c>
      <c r="I7" t="s">
        <v>149</v>
      </c>
      <c r="J7" t="s">
        <v>150</v>
      </c>
      <c r="K7" t="s">
        <v>151</v>
      </c>
      <c r="L7">
        <v>1339</v>
      </c>
      <c r="N7">
        <v>1007</v>
      </c>
      <c r="O7" t="s">
        <v>148</v>
      </c>
      <c r="P7" t="s">
        <v>148</v>
      </c>
      <c r="Q7">
        <v>1</v>
      </c>
      <c r="X7">
        <v>2</v>
      </c>
      <c r="Y7">
        <v>2.44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2</v>
      </c>
      <c r="AH7">
        <v>2</v>
      </c>
      <c r="AI7">
        <v>28315419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28315407</v>
      </c>
      <c r="C8">
        <v>28315406</v>
      </c>
      <c r="D8">
        <v>25476483</v>
      </c>
      <c r="E8">
        <v>1</v>
      </c>
      <c r="F8">
        <v>1</v>
      </c>
      <c r="G8">
        <v>1</v>
      </c>
      <c r="H8">
        <v>1</v>
      </c>
      <c r="I8" t="s">
        <v>130</v>
      </c>
      <c r="K8" t="s">
        <v>131</v>
      </c>
      <c r="L8">
        <v>1369</v>
      </c>
      <c r="N8">
        <v>1013</v>
      </c>
      <c r="O8" t="s">
        <v>132</v>
      </c>
      <c r="P8" t="s">
        <v>132</v>
      </c>
      <c r="Q8">
        <v>1</v>
      </c>
      <c r="X8">
        <v>0.54</v>
      </c>
      <c r="Y8">
        <v>0</v>
      </c>
      <c r="Z8">
        <v>0</v>
      </c>
      <c r="AA8">
        <v>0</v>
      </c>
      <c r="AB8">
        <v>8.46</v>
      </c>
      <c r="AC8">
        <v>0</v>
      </c>
      <c r="AD8">
        <v>1</v>
      </c>
      <c r="AE8">
        <v>1</v>
      </c>
      <c r="AF8" t="s">
        <v>29</v>
      </c>
      <c r="AG8">
        <v>-1.08</v>
      </c>
      <c r="AH8">
        <v>2</v>
      </c>
      <c r="AI8">
        <v>28315407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28315408</v>
      </c>
      <c r="C9">
        <v>28315406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133</v>
      </c>
      <c r="L9">
        <v>608254</v>
      </c>
      <c r="N9">
        <v>1013</v>
      </c>
      <c r="O9" t="s">
        <v>134</v>
      </c>
      <c r="P9" t="s">
        <v>134</v>
      </c>
      <c r="Q9">
        <v>1</v>
      </c>
      <c r="X9">
        <v>0.1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29</v>
      </c>
      <c r="AG9">
        <v>-0.2</v>
      </c>
      <c r="AH9">
        <v>2</v>
      </c>
      <c r="AI9">
        <v>28315408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28315409</v>
      </c>
      <c r="C10">
        <v>28315406</v>
      </c>
      <c r="D10">
        <v>25421764</v>
      </c>
      <c r="E10">
        <v>1</v>
      </c>
      <c r="F10">
        <v>1</v>
      </c>
      <c r="G10">
        <v>1</v>
      </c>
      <c r="H10">
        <v>2</v>
      </c>
      <c r="I10" t="s">
        <v>135</v>
      </c>
      <c r="J10" t="s">
        <v>136</v>
      </c>
      <c r="K10" t="s">
        <v>137</v>
      </c>
      <c r="L10">
        <v>1368</v>
      </c>
      <c r="N10">
        <v>1011</v>
      </c>
      <c r="O10" t="s">
        <v>138</v>
      </c>
      <c r="P10" t="s">
        <v>138</v>
      </c>
      <c r="Q10">
        <v>1</v>
      </c>
      <c r="X10">
        <v>0.1</v>
      </c>
      <c r="Y10">
        <v>0</v>
      </c>
      <c r="Z10">
        <v>99.89</v>
      </c>
      <c r="AA10">
        <v>10.06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-0.2</v>
      </c>
      <c r="AH10">
        <v>2</v>
      </c>
      <c r="AI10">
        <v>28315409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28315410</v>
      </c>
      <c r="C11">
        <v>28315406</v>
      </c>
      <c r="D11">
        <v>25442980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1339</v>
      </c>
      <c r="N11">
        <v>1007</v>
      </c>
      <c r="O11" t="s">
        <v>148</v>
      </c>
      <c r="P11" t="s">
        <v>148</v>
      </c>
      <c r="Q11">
        <v>1</v>
      </c>
      <c r="X11">
        <v>1.5</v>
      </c>
      <c r="Y11">
        <v>145.8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29</v>
      </c>
      <c r="AG11">
        <v>-3</v>
      </c>
      <c r="AH11">
        <v>2</v>
      </c>
      <c r="AI11">
        <v>28315410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28315186</v>
      </c>
      <c r="C12">
        <v>28315185</v>
      </c>
      <c r="D12">
        <v>25476096</v>
      </c>
      <c r="E12">
        <v>1</v>
      </c>
      <c r="F12">
        <v>1</v>
      </c>
      <c r="G12">
        <v>1</v>
      </c>
      <c r="H12">
        <v>1</v>
      </c>
      <c r="I12" t="s">
        <v>152</v>
      </c>
      <c r="K12" t="s">
        <v>153</v>
      </c>
      <c r="L12">
        <v>1369</v>
      </c>
      <c r="N12">
        <v>1013</v>
      </c>
      <c r="O12" t="s">
        <v>132</v>
      </c>
      <c r="P12" t="s">
        <v>132</v>
      </c>
      <c r="Q12">
        <v>1</v>
      </c>
      <c r="X12">
        <v>15.12</v>
      </c>
      <c r="Y12">
        <v>0</v>
      </c>
      <c r="Z12">
        <v>0</v>
      </c>
      <c r="AA12">
        <v>0</v>
      </c>
      <c r="AB12">
        <v>9.29</v>
      </c>
      <c r="AC12">
        <v>0</v>
      </c>
      <c r="AD12">
        <v>1</v>
      </c>
      <c r="AE12">
        <v>1</v>
      </c>
      <c r="AG12">
        <v>15.12</v>
      </c>
      <c r="AH12">
        <v>2</v>
      </c>
      <c r="AI12">
        <v>28315186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28315187</v>
      </c>
      <c r="C13">
        <v>28315185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25</v>
      </c>
      <c r="K13" t="s">
        <v>133</v>
      </c>
      <c r="L13">
        <v>608254</v>
      </c>
      <c r="N13">
        <v>1013</v>
      </c>
      <c r="O13" t="s">
        <v>134</v>
      </c>
      <c r="P13" t="s">
        <v>134</v>
      </c>
      <c r="Q13">
        <v>1</v>
      </c>
      <c r="X13">
        <v>0.05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0.05</v>
      </c>
      <c r="AH13">
        <v>2</v>
      </c>
      <c r="AI13">
        <v>28315187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28315188</v>
      </c>
      <c r="C14">
        <v>28315185</v>
      </c>
      <c r="D14">
        <v>25421695</v>
      </c>
      <c r="E14">
        <v>1</v>
      </c>
      <c r="F14">
        <v>1</v>
      </c>
      <c r="G14">
        <v>1</v>
      </c>
      <c r="H14">
        <v>2</v>
      </c>
      <c r="I14" t="s">
        <v>154</v>
      </c>
      <c r="J14" t="s">
        <v>155</v>
      </c>
      <c r="K14" t="s">
        <v>156</v>
      </c>
      <c r="L14">
        <v>1368</v>
      </c>
      <c r="N14">
        <v>1011</v>
      </c>
      <c r="O14" t="s">
        <v>138</v>
      </c>
      <c r="P14" t="s">
        <v>138</v>
      </c>
      <c r="Q14">
        <v>1</v>
      </c>
      <c r="X14">
        <v>0.02</v>
      </c>
      <c r="Y14">
        <v>0</v>
      </c>
      <c r="Z14">
        <v>112</v>
      </c>
      <c r="AA14">
        <v>13.5</v>
      </c>
      <c r="AB14">
        <v>0</v>
      </c>
      <c r="AC14">
        <v>0</v>
      </c>
      <c r="AD14">
        <v>1</v>
      </c>
      <c r="AE14">
        <v>0</v>
      </c>
      <c r="AG14">
        <v>0.02</v>
      </c>
      <c r="AH14">
        <v>2</v>
      </c>
      <c r="AI14">
        <v>28315188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28315189</v>
      </c>
      <c r="C15">
        <v>28315185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135</v>
      </c>
      <c r="J15" t="s">
        <v>136</v>
      </c>
      <c r="K15" t="s">
        <v>137</v>
      </c>
      <c r="L15">
        <v>1368</v>
      </c>
      <c r="N15">
        <v>1011</v>
      </c>
      <c r="O15" t="s">
        <v>138</v>
      </c>
      <c r="P15" t="s">
        <v>138</v>
      </c>
      <c r="Q15">
        <v>1</v>
      </c>
      <c r="X15">
        <v>0.03</v>
      </c>
      <c r="Y15">
        <v>0</v>
      </c>
      <c r="Z15">
        <v>99.89</v>
      </c>
      <c r="AA15">
        <v>10.06</v>
      </c>
      <c r="AB15">
        <v>0</v>
      </c>
      <c r="AC15">
        <v>0</v>
      </c>
      <c r="AD15">
        <v>1</v>
      </c>
      <c r="AE15">
        <v>0</v>
      </c>
      <c r="AG15">
        <v>0.03</v>
      </c>
      <c r="AH15">
        <v>2</v>
      </c>
      <c r="AI15">
        <v>28315189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28315190</v>
      </c>
      <c r="C16">
        <v>28315185</v>
      </c>
      <c r="D16">
        <v>25422432</v>
      </c>
      <c r="E16">
        <v>1</v>
      </c>
      <c r="F16">
        <v>1</v>
      </c>
      <c r="G16">
        <v>1</v>
      </c>
      <c r="H16">
        <v>2</v>
      </c>
      <c r="I16" t="s">
        <v>157</v>
      </c>
      <c r="J16" t="s">
        <v>158</v>
      </c>
      <c r="K16" t="s">
        <v>159</v>
      </c>
      <c r="L16">
        <v>1368</v>
      </c>
      <c r="N16">
        <v>1011</v>
      </c>
      <c r="O16" t="s">
        <v>138</v>
      </c>
      <c r="P16" t="s">
        <v>138</v>
      </c>
      <c r="Q16">
        <v>1</v>
      </c>
      <c r="X16">
        <v>0.85</v>
      </c>
      <c r="Y16">
        <v>0</v>
      </c>
      <c r="Z16">
        <v>60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0.85</v>
      </c>
      <c r="AH16">
        <v>2</v>
      </c>
      <c r="AI16">
        <v>28315190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28315191</v>
      </c>
      <c r="C17">
        <v>28315185</v>
      </c>
      <c r="D17">
        <v>25423431</v>
      </c>
      <c r="E17">
        <v>1</v>
      </c>
      <c r="F17">
        <v>1</v>
      </c>
      <c r="G17">
        <v>1</v>
      </c>
      <c r="H17">
        <v>2</v>
      </c>
      <c r="I17" t="s">
        <v>160</v>
      </c>
      <c r="J17" t="s">
        <v>161</v>
      </c>
      <c r="K17" t="s">
        <v>162</v>
      </c>
      <c r="L17">
        <v>1368</v>
      </c>
      <c r="N17">
        <v>1011</v>
      </c>
      <c r="O17" t="s">
        <v>138</v>
      </c>
      <c r="P17" t="s">
        <v>138</v>
      </c>
      <c r="Q17">
        <v>1</v>
      </c>
      <c r="X17">
        <v>0.02</v>
      </c>
      <c r="Y17">
        <v>0</v>
      </c>
      <c r="Z17">
        <v>87.17</v>
      </c>
      <c r="AA17">
        <v>11.6</v>
      </c>
      <c r="AB17">
        <v>0</v>
      </c>
      <c r="AC17">
        <v>0</v>
      </c>
      <c r="AD17">
        <v>1</v>
      </c>
      <c r="AE17">
        <v>0</v>
      </c>
      <c r="AG17">
        <v>0.02</v>
      </c>
      <c r="AH17">
        <v>2</v>
      </c>
      <c r="AI17">
        <v>28315191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28315192</v>
      </c>
      <c r="C18">
        <v>28315185</v>
      </c>
      <c r="D18">
        <v>25425158</v>
      </c>
      <c r="E18">
        <v>1</v>
      </c>
      <c r="F18">
        <v>1</v>
      </c>
      <c r="G18">
        <v>1</v>
      </c>
      <c r="H18">
        <v>3</v>
      </c>
      <c r="I18" t="s">
        <v>163</v>
      </c>
      <c r="J18" t="s">
        <v>164</v>
      </c>
      <c r="K18" t="s">
        <v>165</v>
      </c>
      <c r="L18">
        <v>1348</v>
      </c>
      <c r="N18">
        <v>1009</v>
      </c>
      <c r="O18" t="s">
        <v>38</v>
      </c>
      <c r="P18" t="s">
        <v>38</v>
      </c>
      <c r="Q18">
        <v>1000</v>
      </c>
      <c r="X18">
        <v>0.06</v>
      </c>
      <c r="Y18">
        <v>1487.61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0.06</v>
      </c>
      <c r="AH18">
        <v>2</v>
      </c>
      <c r="AI18">
        <v>28315192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28315193</v>
      </c>
      <c r="C19">
        <v>28315185</v>
      </c>
      <c r="D19">
        <v>25442884</v>
      </c>
      <c r="E19">
        <v>1</v>
      </c>
      <c r="F19">
        <v>1</v>
      </c>
      <c r="G19">
        <v>1</v>
      </c>
      <c r="H19">
        <v>3</v>
      </c>
      <c r="I19" t="s">
        <v>166</v>
      </c>
      <c r="J19" t="s">
        <v>167</v>
      </c>
      <c r="K19" t="s">
        <v>168</v>
      </c>
      <c r="L19">
        <v>1339</v>
      </c>
      <c r="N19">
        <v>1007</v>
      </c>
      <c r="O19" t="s">
        <v>148</v>
      </c>
      <c r="P19" t="s">
        <v>148</v>
      </c>
      <c r="Q19">
        <v>1</v>
      </c>
      <c r="X19">
        <v>0.5</v>
      </c>
      <c r="Y19">
        <v>55.26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0.5</v>
      </c>
      <c r="AH19">
        <v>2</v>
      </c>
      <c r="AI19">
        <v>28315193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28315194</v>
      </c>
      <c r="C20">
        <v>28315185</v>
      </c>
      <c r="D20">
        <v>25443092</v>
      </c>
      <c r="E20">
        <v>1</v>
      </c>
      <c r="F20">
        <v>1</v>
      </c>
      <c r="G20">
        <v>1</v>
      </c>
      <c r="H20">
        <v>3</v>
      </c>
      <c r="I20" t="s">
        <v>36</v>
      </c>
      <c r="J20" t="s">
        <v>39</v>
      </c>
      <c r="K20" t="s">
        <v>37</v>
      </c>
      <c r="L20">
        <v>1348</v>
      </c>
      <c r="N20">
        <v>1009</v>
      </c>
      <c r="O20" t="s">
        <v>38</v>
      </c>
      <c r="P20" t="s">
        <v>38</v>
      </c>
      <c r="Q20">
        <v>1000</v>
      </c>
      <c r="X20">
        <v>7.14</v>
      </c>
      <c r="Y20">
        <v>455.39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7.14</v>
      </c>
      <c r="AH20">
        <v>2</v>
      </c>
      <c r="AI20">
        <v>28315194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28315196</v>
      </c>
      <c r="C21">
        <v>28315195</v>
      </c>
      <c r="D21">
        <v>25476096</v>
      </c>
      <c r="E21">
        <v>1</v>
      </c>
      <c r="F21">
        <v>1</v>
      </c>
      <c r="G21">
        <v>1</v>
      </c>
      <c r="H21">
        <v>1</v>
      </c>
      <c r="I21" t="s">
        <v>152</v>
      </c>
      <c r="K21" t="s">
        <v>153</v>
      </c>
      <c r="L21">
        <v>1369</v>
      </c>
      <c r="N21">
        <v>1013</v>
      </c>
      <c r="O21" t="s">
        <v>132</v>
      </c>
      <c r="P21" t="s">
        <v>132</v>
      </c>
      <c r="Q21">
        <v>1</v>
      </c>
      <c r="X21">
        <v>2.32</v>
      </c>
      <c r="Y21">
        <v>0</v>
      </c>
      <c r="Z21">
        <v>0</v>
      </c>
      <c r="AA21">
        <v>0</v>
      </c>
      <c r="AB21">
        <v>9.29</v>
      </c>
      <c r="AC21">
        <v>0</v>
      </c>
      <c r="AD21">
        <v>1</v>
      </c>
      <c r="AE21">
        <v>1</v>
      </c>
      <c r="AF21" t="s">
        <v>51</v>
      </c>
      <c r="AG21">
        <v>9.28</v>
      </c>
      <c r="AH21">
        <v>2</v>
      </c>
      <c r="AI21">
        <v>28315196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28315197</v>
      </c>
      <c r="C22">
        <v>28315195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133</v>
      </c>
      <c r="L22">
        <v>608254</v>
      </c>
      <c r="N22">
        <v>1013</v>
      </c>
      <c r="O22" t="s">
        <v>134</v>
      </c>
      <c r="P22" t="s">
        <v>134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51</v>
      </c>
      <c r="AG22">
        <v>0</v>
      </c>
      <c r="AH22">
        <v>2</v>
      </c>
      <c r="AI22">
        <v>28315197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28315198</v>
      </c>
      <c r="C23">
        <v>28315195</v>
      </c>
      <c r="D23">
        <v>25422432</v>
      </c>
      <c r="E23">
        <v>1</v>
      </c>
      <c r="F23">
        <v>1</v>
      </c>
      <c r="G23">
        <v>1</v>
      </c>
      <c r="H23">
        <v>2</v>
      </c>
      <c r="I23" t="s">
        <v>157</v>
      </c>
      <c r="J23" t="s">
        <v>158</v>
      </c>
      <c r="K23" t="s">
        <v>159</v>
      </c>
      <c r="L23">
        <v>1368</v>
      </c>
      <c r="N23">
        <v>1011</v>
      </c>
      <c r="O23" t="s">
        <v>138</v>
      </c>
      <c r="P23" t="s">
        <v>138</v>
      </c>
      <c r="Q23">
        <v>1</v>
      </c>
      <c r="X23">
        <v>0.14</v>
      </c>
      <c r="Y23">
        <v>0</v>
      </c>
      <c r="Z23">
        <v>60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51</v>
      </c>
      <c r="AG23">
        <v>0.56</v>
      </c>
      <c r="AH23">
        <v>2</v>
      </c>
      <c r="AI23">
        <v>28315198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28315199</v>
      </c>
      <c r="C24">
        <v>28315195</v>
      </c>
      <c r="D24">
        <v>25443092</v>
      </c>
      <c r="E24">
        <v>1</v>
      </c>
      <c r="F24">
        <v>1</v>
      </c>
      <c r="G24">
        <v>1</v>
      </c>
      <c r="H24">
        <v>3</v>
      </c>
      <c r="I24" t="s">
        <v>36</v>
      </c>
      <c r="J24" t="s">
        <v>39</v>
      </c>
      <c r="K24" t="s">
        <v>37</v>
      </c>
      <c r="L24">
        <v>1348</v>
      </c>
      <c r="N24">
        <v>1009</v>
      </c>
      <c r="O24" t="s">
        <v>38</v>
      </c>
      <c r="P24" t="s">
        <v>38</v>
      </c>
      <c r="Q24">
        <v>1000</v>
      </c>
      <c r="X24">
        <v>1.21</v>
      </c>
      <c r="Y24">
        <v>455.39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51</v>
      </c>
      <c r="AG24">
        <v>4.84</v>
      </c>
      <c r="AH24">
        <v>2</v>
      </c>
      <c r="AI24">
        <v>28315199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2012-09-12T09:14:08Z</dcterms:modified>
  <cp:category/>
  <cp:version/>
  <cp:contentType/>
  <cp:contentStatus/>
</cp:coreProperties>
</file>