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200" activeTab="2"/>
  </bookViews>
  <sheets>
    <sheet name="Дефектная ведомость" sheetId="1" r:id="rId1"/>
    <sheet name="Акт КС-2 для ТЕР МО (индекс " sheetId="2" r:id="rId2"/>
    <sheet name="Локальная смета 12 гр. Для Т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КС-2 для ТЕР МО (индекс '!$30:$30</definedName>
    <definedName name="_xlnm.Print_Titles" localSheetId="0">'Дефектная ведомость'!$19:$19</definedName>
    <definedName name="_xlnm.Print_Titles" localSheetId="2">'Локальная смета 12 гр. Для Т'!$41:$41</definedName>
    <definedName name="_xlnm.Print_Area" localSheetId="1">'Акт КС-2 для ТЕР МО (индекс '!$A$1:$L$290</definedName>
    <definedName name="_xlnm.Print_Area" localSheetId="2">'Локальная смета 12 гр. Для Т'!$A$1:$L$300</definedName>
  </definedNames>
  <calcPr fullCalcOnLoad="1"/>
</workbook>
</file>

<file path=xl/sharedStrings.xml><?xml version="1.0" encoding="utf-8"?>
<sst xmlns="http://schemas.openxmlformats.org/spreadsheetml/2006/main" count="4829" uniqueCount="451">
  <si>
    <t>Smeta.ru  (495) 974-1589</t>
  </si>
  <si>
    <t>_PS_</t>
  </si>
  <si>
    <t>Smeta.ru</t>
  </si>
  <si>
    <t/>
  </si>
  <si>
    <t>Новый объект</t>
  </si>
  <si>
    <t>ТСНБ-2001 Московская область</t>
  </si>
  <si>
    <t>Сметные нормы списания</t>
  </si>
  <si>
    <t>Коды ценников</t>
  </si>
  <si>
    <t>ТСНБ+ФЕР 2012</t>
  </si>
  <si>
    <t>Версия 7.0.0.14 от 18.06.2012: для ФЕР, с п.3757-КК/08, п.6056-ИП/08,п.10753-ВТ/08 и п.15127-ИП/08 (Кап. ремонт произоводственных зд.): Центральные регионы: Текущие цены</t>
  </si>
  <si>
    <t>ТСНБ-2001 Московской области</t>
  </si>
  <si>
    <t>Поправки  для НБ 2001 года  в ред. 2009 года от 29.03.2011</t>
  </si>
  <si>
    <t>Новая локальная смета</t>
  </si>
  <si>
    <t>{D8C08F2B-3727-4F97-9611-6FA5FB10DC8C}</t>
  </si>
  <si>
    <t>Новый раздел</t>
  </si>
  <si>
    <t>Замена бортового камня</t>
  </si>
  <si>
    <t>{4731E040-CC4C-493D-AC29-B1218F76DF69}</t>
  </si>
  <si>
    <t>1</t>
  </si>
  <si>
    <t>27-03-010-1</t>
  </si>
  <si>
    <t>Разборка бортовых камней на бетонном основании</t>
  </si>
  <si>
    <t>100 м</t>
  </si>
  <si>
    <t>ТСНБ-2001 Московская обл 27-03-010-1, распоряжение №52 от 06.09.2011г.</t>
  </si>
  <si>
    <t>Общестроительные работы</t>
  </si>
  <si>
    <t>Автомобильные дороги</t>
  </si>
  <si>
    <t>ФЕР-27</t>
  </si>
  <si>
    <t>*0.85</t>
  </si>
  <si>
    <t>((*0.85))</t>
  </si>
  <si>
    <t>((*0.8))</t>
  </si>
  <si>
    <t>2</t>
  </si>
  <si>
    <t>27-02-010-2</t>
  </si>
  <si>
    <t>Установка бортовых камней бетонных при других видах покрытий</t>
  </si>
  <si>
    <t>ТСНБ-2001 Московская обл 27-02-010-2, распоряжение №52 от 06.09.2011г.</t>
  </si>
  <si>
    <t>100 м бортового камня</t>
  </si>
  <si>
    <t>2,1</t>
  </si>
  <si>
    <t>403-8021</t>
  </si>
  <si>
    <t>Камни бортовые БР 100.30.15 / бетон В30 (М400), объем 0,043 м3/ (ГОСТ 6665-91)</t>
  </si>
  <si>
    <t>шт.</t>
  </si>
  <si>
    <t>ТСНБ-2001 Московская обл распоряжение № 51от 06.09.2011г. 403-8021</t>
  </si>
  <si>
    <t>2,2</t>
  </si>
  <si>
    <t>413-9010</t>
  </si>
  <si>
    <t>Камни бортовые</t>
  </si>
  <si>
    <t>м</t>
  </si>
  <si>
    <t>ТСНБ-2001 Московская обл распоряжение № 51от 06.09.2011г. 413-9010</t>
  </si>
  <si>
    <t>3</t>
  </si>
  <si>
    <t>3,1</t>
  </si>
  <si>
    <t>403-8023</t>
  </si>
  <si>
    <t>Камни бортовые БР 100.20.8 / бетон В22,5 (М300), объем 0,016 м3/ (ГОСТ 6665-91)</t>
  </si>
  <si>
    <t>ТСНБ-2001 Московская обл распоряжение № 51от 06.09.2011г. 403-8023</t>
  </si>
  <si>
    <t>3,2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</si>
  <si>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</si>
  <si>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</si>
  <si>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</si>
  <si>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</si>
  <si>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</si>
  <si>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</si>
  <si>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</si>
  <si>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</si>
  <si>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</si>
  <si>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</si>
  <si>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</si>
  <si>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</si>
  <si>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</si>
  <si>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</si>
  <si>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</si>
  <si>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</si>
  <si>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</si>
  <si>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</si>
  <si>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</si>
  <si>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</si>
  <si>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</si>
  <si>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</si>
  <si>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</si>
  <si>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</si>
  <si>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</si>
  <si>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</si>
  <si>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{5A1815C4-5F50-4DCF-A03B-DE60F6632CD5}</t>
  </si>
  <si>
    <t>4</t>
  </si>
  <si>
    <t>01-01-013-14</t>
  </si>
  <si>
    <t>Разработка грунта с погрузкой на автомобили-самосвалы экскаваторами с ковшом вместимостью 0,5 (0,5-0,63) м3, группа грунтов 2</t>
  </si>
  <si>
    <t>1000 м3</t>
  </si>
  <si>
    <t>ТЕР Московской обл.,сб.01,гл.01,табл.013,поз.14</t>
  </si>
  <si>
    <t>1000 м3 грунта</t>
  </si>
  <si>
    <t>Земляные работы, выполняемые  механизированным способом</t>
  </si>
  <si>
    <t>ФЕР-01</t>
  </si>
  <si>
    <t>5</t>
  </si>
  <si>
    <t>Техчасть индексов</t>
  </si>
  <si>
    <t>Вывоз грунта на 10 км</t>
  </si>
  <si>
    <t>т</t>
  </si>
  <si>
    <t>Прочие работы</t>
  </si>
  <si>
    <t>прочие</t>
  </si>
  <si>
    <t>6</t>
  </si>
  <si>
    <t>27-04-001-1</t>
  </si>
  <si>
    <t>Устройство подстилающих и выравнивающих слоев оснований из песка</t>
  </si>
  <si>
    <t>100 м3</t>
  </si>
  <si>
    <t>ТСНБ-2001 Московская обл 27-04-001-1, распоряжение №52 от 06.09.2011г.</t>
  </si>
  <si>
    <t>100 м3 материала основания (в плотном теле)</t>
  </si>
  <si>
    <t>6,1</t>
  </si>
  <si>
    <t>408-0122</t>
  </si>
  <si>
    <t>Песок природный для строительных работ средний</t>
  </si>
  <si>
    <t>м3</t>
  </si>
  <si>
    <t>ТСНБ-2001 Московская обл распоряжение № 51от 06.09.2011г. 408-0122</t>
  </si>
  <si>
    <t>7</t>
  </si>
  <si>
    <t>27-04-001-4</t>
  </si>
  <si>
    <t>Устройство подстилающих и выравнивающих слоев оснований из щебня</t>
  </si>
  <si>
    <t>ТСНБ-2001 Московская обл 27-04-001-4, распоряжение №52 от 06.09.2011г.</t>
  </si>
  <si>
    <t>7,1</t>
  </si>
  <si>
    <t>408-0393</t>
  </si>
  <si>
    <t>Щебень известняковый для строительных работ марки 600 фракции 40-70 мм</t>
  </si>
  <si>
    <t>ТСНБ-2001 Московская обл распоряжение № 51от 06.09.2011г. 408-0393</t>
  </si>
  <si>
    <t>{A6218B0D-01E6-42E2-9CE4-01167E6C5D43}</t>
  </si>
  <si>
    <t>8</t>
  </si>
  <si>
    <t>8,1</t>
  </si>
  <si>
    <t>9</t>
  </si>
  <si>
    <t>27-06-020-1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</si>
  <si>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</si>
  <si>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1000 м2</t>
  </si>
  <si>
    <t>ТСНБ-2001 Московская обл 27-06-020-1, распоряжение №52 от 06.09.2011г.</t>
  </si>
  <si>
    <t>1000 м2 покрытия</t>
  </si>
  <si>
    <t>10</t>
  </si>
  <si>
    <t>27-06-021-1</t>
  </si>
  <si>
    <t>На каждые 0,5 см изменения толщины покрытия добавлять или исключать к расценке 27-06-020-01</t>
  </si>
  <si>
    <t>ТСНБ-2001 Московская обл 27-06-021-1, распоряжение №52 от 06.09.2011г.</t>
  </si>
  <si>
    <t>)*2</t>
  </si>
  <si>
    <t>{3EDDBC96-4D79-49F5-B7C6-F7545911FEF9}</t>
  </si>
  <si>
    <t>11</t>
  </si>
  <si>
    <t>11,1</t>
  </si>
  <si>
    <t>12</t>
  </si>
  <si>
    <t>13</t>
  </si>
  <si>
    <t>{3B88FFD1-35B1-4A4E-8D32-5087689324CD}</t>
  </si>
  <si>
    <t>14</t>
  </si>
  <si>
    <t>14,1</t>
  </si>
  <si>
    <t>15</t>
  </si>
  <si>
    <t>16</t>
  </si>
  <si>
    <t>{9B2A301D-80D4-4939-9074-C56AAF378E57}</t>
  </si>
  <si>
    <t>17</t>
  </si>
  <si>
    <t>18</t>
  </si>
  <si>
    <t>19</t>
  </si>
  <si>
    <t>19,1</t>
  </si>
  <si>
    <t>20</t>
  </si>
  <si>
    <t>20,1</t>
  </si>
  <si>
    <t>21</t>
  </si>
  <si>
    <t>27-06-020-5</t>
  </si>
  <si>
    <t>Устройство покрытия толщиной 4 см из горячих асфальтобетонных смесей плотных песчаных типа ГД, плотность каменных материалов 2,5-2,9-3 т/м3</t>
  </si>
  <si>
    <t>ТСНБ-2001 Московская обл 27-06-020-5, распоряжение №52 от 06.09.2011г.</t>
  </si>
  <si>
    <t>Ремонт колодцев</t>
  </si>
  <si>
    <t>{1E7580A9-BCD8-44C8-87E2-078C55020366}</t>
  </si>
  <si>
    <t>22</t>
  </si>
  <si>
    <t>66-8-1</t>
  </si>
  <si>
    <t>Демонтаж чугунных люков</t>
  </si>
  <si>
    <t>1 люк</t>
  </si>
  <si>
    <t>ТСНБ-2001 Московская обл 66-8-1 распоряжение №52 от 06.09.2011г.</t>
  </si>
  <si>
    <t>Ремонтно-строительные работы</t>
  </si>
  <si>
    <t>Наружные с/техработы : разборка, очистка...</t>
  </si>
  <si>
    <t>ФЕРр-66</t>
  </si>
  <si>
    <t>23</t>
  </si>
  <si>
    <t>07-02-002-1</t>
  </si>
  <si>
    <t>Установка  колец диаметром до 1000 мм</t>
  </si>
  <si>
    <t>ТСНБ-2001 Московская обл 07-02-002-1, распоряжение №52 от 06.09.2011г.</t>
  </si>
  <si>
    <t>100 м3 сборных железобетонных конструкций</t>
  </si>
  <si>
    <t>Сборные бетонные конструкции в промышленном строительстве  ( водопровод и канализация )</t>
  </si>
  <si>
    <t>ФЕР-07</t>
  </si>
  <si>
    <t>23,1</t>
  </si>
  <si>
    <t>403-0118</t>
  </si>
  <si>
    <t>Кольца для колодцев сборные железобетонные диаметром 700 мм</t>
  </si>
  <si>
    <t>ТСНБ-2001 Московская обл распоряжение № 51от 06.09.2011г. 403-0118</t>
  </si>
  <si>
    <t>24</t>
  </si>
  <si>
    <t>23-04-011-1</t>
  </si>
  <si>
    <t>Установка люка</t>
  </si>
  <si>
    <t>ТСНБ-2001 Московская обл 23-04-011-1, распоряжение №52 от 06.09.2011г.</t>
  </si>
  <si>
    <t>Канализация - наружные сети</t>
  </si>
  <si>
    <t>ФЕР-23</t>
  </si>
  <si>
    <t>24,1</t>
  </si>
  <si>
    <t>101-2536</t>
  </si>
  <si>
    <t>Люки чугунные тяжелый</t>
  </si>
  <si>
    <t>ТСНБ-2001 Московская обл 101-2536</t>
  </si>
  <si>
    <t>Итог6</t>
  </si>
  <si>
    <t>Итого</t>
  </si>
  <si>
    <t>Итог7</t>
  </si>
  <si>
    <t>НДС 18%</t>
  </si>
  <si>
    <t>Итог8</t>
  </si>
  <si>
    <t>Всего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</si>
  <si>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</si>
  <si>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</si>
  <si>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</si>
  <si>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</si>
  <si>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</si>
  <si>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</si>
  <si>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</si>
  <si>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</si>
  <si>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</si>
  <si>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</si>
  <si>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</si>
  <si>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</si>
  <si>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</si>
  <si>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</si>
  <si>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</si>
  <si>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</si>
  <si>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</si>
  <si>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</si>
  <si>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</si>
  <si>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</si>
  <si>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</si>
  <si>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</si>
  <si>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</si>
  <si>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</si>
  <si>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</si>
  <si>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</si>
  <si>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</si>
  <si>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</si>
  <si>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</si>
  <si>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</si>
  <si>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</si>
  <si>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</si>
  <si>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</si>
  <si>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</si>
  <si>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</si>
  <si>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</si>
  <si>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</si>
  <si>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</si>
  <si>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</si>
  <si>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</si>
  <si>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</si>
  <si>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</si>
  <si>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</si>
  <si>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</si>
  <si>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</si>
  <si>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1-1023-90</t>
  </si>
  <si>
    <t>Рабочий строитель среднего разряда 2,3</t>
  </si>
  <si>
    <t>чел.-ч</t>
  </si>
  <si>
    <t>Затраты труда машинистов</t>
  </si>
  <si>
    <t>чел.час</t>
  </si>
  <si>
    <t>1-1029-90</t>
  </si>
  <si>
    <t>Рабочий строитель среднего разряда 2,9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</si>
  <si>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</si>
  <si>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</si>
  <si>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</si>
  <si>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маш.-ч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</si>
  <si>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</si>
  <si>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</si>
  <si>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</si>
  <si>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101-1805</t>
  </si>
  <si>
    <t>ТСНБ-2001 Московская обл 101-1805</t>
  </si>
  <si>
    <t>Гвозди строительные</t>
  </si>
  <si>
    <t>102-0038</t>
  </si>
  <si>
    <t>ТСНБ-2001 Московская обл 102-0038</t>
  </si>
  <si>
    <t>Брусья необрезные хвойных пород длиной 4-6,5 м, все ширины, толщиной 100, 125 мм, IV сорта</t>
  </si>
  <si>
    <t>401-0006</t>
  </si>
  <si>
    <t>ТСНБ-2001 Московская обл распоряжение № 51от 06.09.2011г. 401-0006</t>
  </si>
  <si>
    <t>Бетон тяжелый, класс В15 (М200)</t>
  </si>
  <si>
    <t>402-0004</t>
  </si>
  <si>
    <t>ТСНБ-2001 Московская обл распоряжение № 51от 06.09.2011г. 402-0004</t>
  </si>
  <si>
    <t>Раствор готовый кладочный цементный марки 100</t>
  </si>
  <si>
    <t>1-2.0-50</t>
  </si>
  <si>
    <t>Затраты труда рабочих, разряд работ 2.0</t>
  </si>
  <si>
    <t>060247</t>
  </si>
  <si>
    <t>ЦЭМ Московская обл.,сб.06,поз.0247</t>
  </si>
  <si>
    <t>Экскаваторы одноковшовые дизельные на гусеничном ходу при работе на других видах строительства (кроме водохозяйственного) 0,5 м3</t>
  </si>
  <si>
    <t>070149</t>
  </si>
  <si>
    <t>ЦЭМ Московская обл.,сб.07,поз.0149</t>
  </si>
  <si>
    <t>Бульдозеры при работе на других видах строительства (кроме водохозяйственного) 79 (108) кВт (л.с.)</t>
  </si>
  <si>
    <t>408-0015</t>
  </si>
  <si>
    <t>ССЦ Московской обл.,сб.408,поз.0015</t>
  </si>
  <si>
    <t>Щебень из природного камня (гранитный), марка 800, фракция 20-40 мм</t>
  </si>
  <si>
    <t>030101</t>
  </si>
  <si>
    <t>ТСНБ-2001 Московская обл распоряжение № 51от 06.09.2011г. 030101</t>
  </si>
  <si>
    <t>Автопогрузчики 5 т</t>
  </si>
  <si>
    <t>120202</t>
  </si>
  <si>
    <t>ТСНБ-2001 Московская обл распоряжение № 51от 06.09.2011г. 120202</t>
  </si>
  <si>
    <t>Автогрейдеры среднего типа 99 кВт (135 л.с.)</t>
  </si>
  <si>
    <t>120911</t>
  </si>
  <si>
    <t>ТСНБ-2001 Московская обл распоряжение № 51от 06.09.2011г. 120911</t>
  </si>
  <si>
    <t>Катки на пневмоколесном ходу 30 т</t>
  </si>
  <si>
    <t>121601</t>
  </si>
  <si>
    <t>ТСНБ-2001 Московская обл распоряжение № 51от 06.09.2011г. 121601</t>
  </si>
  <si>
    <t>Машины поливомоечные 6000 л</t>
  </si>
  <si>
    <t>411-0001</t>
  </si>
  <si>
    <t>ТСНБ-2001 Московская обл распоряжение № 51от 06.09.2011г. 411-0001</t>
  </si>
  <si>
    <t>Вода</t>
  </si>
  <si>
    <t>1-1024-90</t>
  </si>
  <si>
    <t>Рабочий строитель среднего разряда 2,4</t>
  </si>
  <si>
    <t>ТСНБ-2001 Московская обл распоряжение № 51от 06.09.2011г. 070149</t>
  </si>
  <si>
    <t>Бульдозеры при работе на других видах строительства 79 кВт (108 л.с.)</t>
  </si>
  <si>
    <t>1-1040-90</t>
  </si>
  <si>
    <t>Рабочий строитель среднего разряда 4</t>
  </si>
  <si>
    <t>120500</t>
  </si>
  <si>
    <t>ТСНБ-2001 Московская обл распоряжение № 51от 06.09.2011г. 120500</t>
  </si>
  <si>
    <t>Гудронаторы ручные</t>
  </si>
  <si>
    <t>120906</t>
  </si>
  <si>
    <t>ТСНБ-2001 Московская обл распоряжение № 51от 06.09.2011г. 120906</t>
  </si>
  <si>
    <t>Катки дорожные самоходные гладкие 8 т</t>
  </si>
  <si>
    <t>120907</t>
  </si>
  <si>
    <t>ТСНБ-2001 Московская обл распоряжение № 51от 06.09.2011г. 120907</t>
  </si>
  <si>
    <t>Катки дорожные самоходные гладкие 13 т</t>
  </si>
  <si>
    <t>122000</t>
  </si>
  <si>
    <t>ТСНБ-2001 Московская обл распоряжение № 51от 06.09.2011г. 122000</t>
  </si>
  <si>
    <t>Укладчики асфальтобетона</t>
  </si>
  <si>
    <t>101-0782</t>
  </si>
  <si>
    <t>ТСНБ-2001 Московская обл 101-0782</t>
  </si>
  <si>
    <t>Поковки из квадратных заготовок, масса 1,8 кг</t>
  </si>
  <si>
    <t>101-1556</t>
  </si>
  <si>
    <t>ТСНБ-2001 Московская обл 101-1556</t>
  </si>
  <si>
    <t>Битумы нефтяные дорожные марки БНД-60/90, БНД 90/130, сорт I</t>
  </si>
  <si>
    <t>102-0025</t>
  </si>
  <si>
    <t>ТСНБ-2001 Московская обл 102-0025</t>
  </si>
  <si>
    <t>Бруски обрезные хвойных пород длиной 4-6,5 м, шириной 75-150 мм, толщиной 40-75 мм, III сорта</t>
  </si>
  <si>
    <t>410-0001</t>
  </si>
  <si>
    <t>ТСНБ-2001 Московская обл распоряжение № 51от 06.09.2011г. 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</si>
  <si>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</si>
  <si>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410-0008</t>
  </si>
  <si>
    <t>ТСНБ-2001 Московская обл распоряжение № 51от 06.09.2011г. 410-0008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</si>
  <si>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Г</t>
  </si>
  <si>
    <t>1-1021-90</t>
  </si>
  <si>
    <t>Рабочий строитель среднего разряда 2,1</t>
  </si>
  <si>
    <t>1-1034-90</t>
  </si>
  <si>
    <t>Рабочий строитель среднего разряда 3,4</t>
  </si>
  <si>
    <t>021143</t>
  </si>
  <si>
    <t>ТСНБ-2001 Московская обл распоряжение № 51от 06.09.2011г. 021143</t>
  </si>
  <si>
    <t>Краны на автомобильном ходу при работе на других видах строительства 16 т</t>
  </si>
  <si>
    <t>021243</t>
  </si>
  <si>
    <t>ТСНБ-2001 Московская обл распоряжение № 51от 06.09.2011г. 021243</t>
  </si>
  <si>
    <t>Краны на гусеничном ходу при работе на других видах строительства до 16 т</t>
  </si>
  <si>
    <t>403-9022</t>
  </si>
  <si>
    <t>ТСНБ-2001 Московская обл распоряжение № 51от 06.09.2011г. 403-9022</t>
  </si>
  <si>
    <t>Конструкции сборные железобетонные</t>
  </si>
  <si>
    <t>1-1031-90</t>
  </si>
  <si>
    <t>Рабочий строитель среднего разряда 3,1</t>
  </si>
  <si>
    <t>401-0007</t>
  </si>
  <si>
    <t>ТСНБ-2001 Московская обл распоряжение № 51от 06.09.2011г. 401-0007</t>
  </si>
  <si>
    <t>Бетон тяжелый, класс В20 (М250)</t>
  </si>
  <si>
    <t>408-9040</t>
  </si>
  <si>
    <t>ТСНБ-2001 Московская обл распоряжение № 51от 06.09.2011г. 408-9040</t>
  </si>
  <si>
    <t>Песок для строительных работ природный</t>
  </si>
  <si>
    <t>408-9080</t>
  </si>
  <si>
    <t>ТСНБ-2001 Московская обл распоряжение № 51от 06.09.2011г. 408-9080</t>
  </si>
  <si>
    <t>Щебень</t>
  </si>
  <si>
    <t>"СОГЛАСОВАНО"</t>
  </si>
  <si>
    <t>"УТВЕРЖДАЮ"</t>
  </si>
  <si>
    <t>"_____"________________200___ г.</t>
  </si>
  <si>
    <t>(Наименование стройки)</t>
  </si>
  <si>
    <t xml:space="preserve">Номер заказа  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</si>
  <si>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</si>
  <si>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</si>
  <si>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</si>
  <si>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</si>
  <si>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</si>
  <si>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</si>
  <si>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</si>
  <si>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</si>
  <si>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</si>
  <si>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</si>
  <si>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</si>
  <si>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</si>
  <si>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</si>
  <si>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Июнь 2012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</si>
  <si>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</si>
  <si>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</si>
  <si>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</si>
  <si>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</si>
  <si>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</si>
  <si>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</si>
  <si>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</si>
  <si>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</si>
  <si>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</si>
  <si>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</si>
  <si>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</si>
  <si>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</si>
  <si>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</si>
  <si>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</si>
  <si>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</si>
  <si>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</si>
  <si>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</si>
  <si>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</si>
  <si>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</si>
  <si>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</si>
  <si>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</si>
  <si>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</si>
  <si>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</si>
  <si>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</si>
  <si>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</si>
  <si>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</si>
  <si>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</si>
  <si>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</si>
  <si>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</si>
  <si>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</si>
  <si>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</si>
  <si>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</si>
  <si>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</si>
  <si>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</si>
  <si>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</si>
  <si>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</si>
  <si>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 xml:space="preserve">Раздел  </t>
  </si>
  <si>
    <t>Зарплата</t>
  </si>
  <si>
    <t>Накладные расходы от ФОТ</t>
  </si>
  <si>
    <t>%</t>
  </si>
  <si>
    <t>Затраты труда</t>
  </si>
  <si>
    <t>чел-ч</t>
  </si>
  <si>
    <t>в т.ч. зарплата машинистов</t>
  </si>
  <si>
    <t>Материальные ресурсы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</si>
  <si>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</si>
  <si>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</si>
  <si>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</si>
  <si>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</si>
  <si>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</si>
  <si>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</si>
  <si>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</si>
  <si>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</si>
  <si>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</si>
  <si>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</si>
  <si>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</si>
  <si>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 xml:space="preserve">Инвестор </t>
  </si>
  <si>
    <t>по ОКПО</t>
  </si>
  <si>
    <t xml:space="preserve">Заказчик </t>
  </si>
  <si>
    <t xml:space="preserve">Подрядчик </t>
  </si>
  <si>
    <t xml:space="preserve">Стройка </t>
  </si>
  <si>
    <t xml:space="preserve">Объект 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</si>
  <si>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</si>
  <si>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</si>
  <si>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</si>
  <si>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</si>
  <si>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</si>
  <si>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Дата составления</t>
  </si>
  <si>
    <t>Отчетный период</t>
  </si>
  <si>
    <t>с</t>
  </si>
  <si>
    <t>по</t>
  </si>
  <si>
    <t>AKT ВЫПОЛНЕННЫХ РАБОТ</t>
  </si>
  <si>
    <t xml:space="preserve">Составлен(а) в ценах 2001 г. с учетом коэффициентов пересчета к базисной стоимости СМР в текущий уровень цен базисно-индексным методом </t>
  </si>
  <si>
    <t>г.</t>
  </si>
  <si>
    <t>ПОДРЯДЧИК</t>
  </si>
  <si>
    <t>ЗАКАЗЧИК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</si>
  <si>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</si>
  <si>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</si>
  <si>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</si>
  <si>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</si>
  <si>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</si>
  <si>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</si>
  <si>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</si>
  <si>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</si>
  <si>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</si>
  <si>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Примечание</t>
  </si>
  <si>
    <t>Заказчик _________________</t>
  </si>
  <si>
    <t>Подрядчик _________________</t>
  </si>
  <si>
    <t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t>
  </si>
  <si>
    <t>Городское поселение Краснозаводск Сергиево-Посадского муниципального района Московской области</t>
  </si>
  <si>
    <t xml:space="preserve">ЛОКАЛЬНАЯ СМЕТА </t>
  </si>
  <si>
    <t>Ремонт покрытия из асфальтобетона внутриквартальной автомобильной дороги и ее расширение, ремонт покрытия из асфальтобетона парковочного кармана, устройство тротуара и стоянки с покрытием из асфальтобетона у многоквартирного жилого дома №2-А по улице Строителей города Краснозаводска городского поселения Краснозаводск Сергиево-Посадского муниципального района Московской области</t>
  </si>
  <si>
    <t>Расширение дороги</t>
  </si>
  <si>
    <t>Ремонт парковочного кармана</t>
  </si>
  <si>
    <t>Ремонт внутриквартальной дороги</t>
  </si>
  <si>
    <t>Ремонт придомовой территории</t>
  </si>
  <si>
    <t>Устройство тротуара</t>
  </si>
  <si>
    <t>Пункт 1.3 проекта решения Совета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</si>
</sst>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shrinkToFit="1"/>
    </xf>
    <xf numFmtId="0" fontId="39" fillId="0" borderId="15" xfId="0" applyFont="1" applyBorder="1" applyAlignment="1">
      <alignment horizontal="center" vertical="top" shrinkToFit="1"/>
    </xf>
    <xf numFmtId="0" fontId="39" fillId="0" borderId="16" xfId="0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 shrinkToFit="1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11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7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left" wrapText="1"/>
    </xf>
    <xf numFmtId="172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5.7109375" style="0" customWidth="1"/>
    <col min="2" max="2" width="76.7109375" style="0" customWidth="1"/>
    <col min="3" max="4" width="18.7109375" style="0" customWidth="1"/>
    <col min="5" max="5" width="20.7109375" style="0" customWidth="1"/>
    <col min="27" max="27" width="137.7109375" style="0" hidden="1" customWidth="1"/>
    <col min="28" max="28" width="0" style="0" hidden="1" customWidth="1"/>
  </cols>
  <sheetData>
    <row r="1" spans="1:5" ht="12.75">
      <c r="A1" s="99" t="str">
        <f>Source!B1</f>
        <v>Smeta.ru  (495) 974-1589</v>
      </c>
      <c r="B1" s="100"/>
      <c r="C1" s="100"/>
      <c r="D1" s="100"/>
      <c r="E1" s="100"/>
    </row>
    <row r="3" spans="3:4" ht="18.75">
      <c r="C3" s="60" t="s">
        <v>336</v>
      </c>
      <c r="D3" s="60"/>
    </row>
    <row r="4" spans="3:4" ht="18.75">
      <c r="C4" s="60"/>
      <c r="D4" s="60" t="s">
        <v>429</v>
      </c>
    </row>
    <row r="5" spans="3:4" ht="18.75">
      <c r="C5" s="60"/>
      <c r="D5" s="60" t="s">
        <v>429</v>
      </c>
    </row>
    <row r="6" ht="15.75">
      <c r="C6" s="61" t="s">
        <v>430</v>
      </c>
    </row>
    <row r="10" ht="20.25">
      <c r="B10" s="62" t="s">
        <v>431</v>
      </c>
    </row>
    <row r="11" spans="2:12" ht="150">
      <c r="B11" s="12" t="s">
        <v>444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4" ht="15.75">
      <c r="B14" s="63" t="s">
        <v>432</v>
      </c>
    </row>
    <row r="15" ht="15.75">
      <c r="B15" s="63" t="s">
        <v>433</v>
      </c>
    </row>
    <row r="16" ht="15.75">
      <c r="B16" s="63" t="s">
        <v>434</v>
      </c>
    </row>
    <row r="17" spans="1:5" ht="15">
      <c r="A17" s="19" t="s">
        <v>354</v>
      </c>
      <c r="B17" s="19" t="s">
        <v>360</v>
      </c>
      <c r="C17" s="19" t="s">
        <v>361</v>
      </c>
      <c r="D17" s="19" t="s">
        <v>436</v>
      </c>
      <c r="E17" s="20" t="s">
        <v>438</v>
      </c>
    </row>
    <row r="18" spans="1:5" ht="15">
      <c r="A18" s="21" t="s">
        <v>355</v>
      </c>
      <c r="B18" s="21"/>
      <c r="C18" s="21" t="s">
        <v>435</v>
      </c>
      <c r="D18" s="21" t="s">
        <v>437</v>
      </c>
      <c r="E18" s="23"/>
    </row>
    <row r="19" spans="1:5" ht="15">
      <c r="A19" s="19">
        <v>1</v>
      </c>
      <c r="B19" s="19">
        <v>2</v>
      </c>
      <c r="C19" s="19">
        <v>3</v>
      </c>
      <c r="D19" s="19">
        <v>4</v>
      </c>
      <c r="E19" s="20">
        <v>5</v>
      </c>
    </row>
    <row r="20" spans="1:27" ht="15.75">
      <c r="A20" s="96" t="str">
        <f>CONCATENATE("Локальная смета     ",IF(Source!C12="1",Source!F20,Source!G20))</f>
        <v>Локальная смета     Новая локальная смета</v>
      </c>
      <c r="B20" s="97"/>
      <c r="C20" s="97"/>
      <c r="D20" s="97"/>
      <c r="E20" s="98"/>
      <c r="AA20" s="64" t="str">
        <f>CONCATENATE("Локальная смета     ",IF(Source!C12="1",Source!F20,Source!G20))</f>
        <v>Локальная смета     Новая локальная смета</v>
      </c>
    </row>
    <row r="21" spans="1:27" ht="15.75">
      <c r="A21" s="96" t="str">
        <f>CONCATENATE("Раздел   ",IF(Source!C12="1",Source!F24,Source!G24))</f>
        <v>Раздел   Замена бортового камня</v>
      </c>
      <c r="B21" s="97"/>
      <c r="C21" s="97"/>
      <c r="D21" s="97"/>
      <c r="E21" s="98"/>
      <c r="AA21" s="64" t="str">
        <f>CONCATENATE("Раздел   ",IF(Source!C12="1",Source!F24,Source!G24))</f>
        <v>Раздел   Замена бортового камня</v>
      </c>
    </row>
    <row r="22" spans="1:5" ht="14.25">
      <c r="A22" s="65" t="str">
        <f>Source!E28</f>
        <v>1</v>
      </c>
      <c r="B22" s="67" t="str">
        <f>Source!G28</f>
        <v>Разборка бортовых камней на бетонном основании</v>
      </c>
      <c r="C22" s="69" t="str">
        <f>Source!H28</f>
        <v>100 м</v>
      </c>
      <c r="D22" s="71">
        <f>Source!I28</f>
        <v>1.32</v>
      </c>
      <c r="E22" s="74"/>
    </row>
    <row r="23" spans="1:5" ht="14.25">
      <c r="A23" s="65" t="str">
        <f>Source!E29</f>
        <v>2</v>
      </c>
      <c r="B23" s="67" t="str">
        <f>Source!G29</f>
        <v>Установка бортовых камней бетонных при других видах покрытий</v>
      </c>
      <c r="C23" s="69" t="str">
        <f>Source!H29</f>
        <v>100 м</v>
      </c>
      <c r="D23" s="71">
        <f>Source!I29</f>
        <v>0.78</v>
      </c>
      <c r="E23" s="74"/>
    </row>
    <row r="24" spans="1:5" ht="28.5">
      <c r="A24" s="65" t="str">
        <f>Source!E30</f>
        <v>2,1</v>
      </c>
      <c r="B24" s="67" t="str">
        <f>Source!G30</f>
        <v>Камни бортовые БР 100.30.15 / бетон В30 (М400), объем 0,043 м3/ (ГОСТ 6665-91)</v>
      </c>
      <c r="C24" s="69" t="str">
        <f>Source!H30</f>
        <v>шт.</v>
      </c>
      <c r="D24" s="71">
        <f>Source!I30</f>
        <v>78</v>
      </c>
      <c r="E24" s="74"/>
    </row>
    <row r="25" spans="1:5" ht="14.25">
      <c r="A25" s="65" t="str">
        <f>Source!E31</f>
        <v>2,2</v>
      </c>
      <c r="B25" s="67" t="str">
        <f>Source!G31</f>
        <v>Камни бортовые</v>
      </c>
      <c r="C25" s="69" t="str">
        <f>Source!H31</f>
        <v>м</v>
      </c>
      <c r="D25" s="71">
        <f>Source!I31</f>
        <v>78</v>
      </c>
      <c r="E25" s="74"/>
    </row>
    <row r="26" spans="1:5" ht="14.25">
      <c r="A26" s="65" t="str">
        <f>Source!E32</f>
        <v>3</v>
      </c>
      <c r="B26" s="67" t="str">
        <f>Source!G32</f>
        <v>Установка бортовых камней бетонных при других видах покрытий</v>
      </c>
      <c r="C26" s="69" t="str">
        <f>Source!H32</f>
        <v>100 м</v>
      </c>
      <c r="D26" s="71">
        <f>Source!I32</f>
        <v>0.6</v>
      </c>
      <c r="E26" s="74"/>
    </row>
    <row r="27" spans="1:5" ht="28.5">
      <c r="A27" s="65" t="str">
        <f>Source!E33</f>
        <v>3,1</v>
      </c>
      <c r="B27" s="67" t="str">
        <f>Source!G33</f>
        <v>Камни бортовые БР 100.20.8 / бетон В22,5 (М300), объем 0,016 м3/ (ГОСТ 6665-91)</v>
      </c>
      <c r="C27" s="69" t="str">
        <f>Source!H33</f>
        <v>шт.</v>
      </c>
      <c r="D27" s="71">
        <f>Source!I33</f>
        <v>120</v>
      </c>
      <c r="E27" s="74"/>
    </row>
    <row r="28" spans="1:5" ht="14.25">
      <c r="A28" s="65" t="str">
        <f>Source!E34</f>
        <v>3,2</v>
      </c>
      <c r="B28" s="67" t="str">
        <f>Source!G34</f>
        <v>Камни бортовые</v>
      </c>
      <c r="C28" s="69" t="str">
        <f>Source!H34</f>
        <v>м</v>
      </c>
      <c r="D28" s="71">
        <f>Source!I34</f>
        <v>60</v>
      </c>
      <c r="E28" s="74"/>
    </row>
    <row r="29" spans="1:27" ht="15.75">
      <c r="A29" s="96" t="str">
        <f>CONCATENATE("Раздел   ",IF(Source!C12="1",Source!F52,Source!G52))</f>
        <v>Раздел   Расширение дороги</v>
      </c>
      <c r="B29" s="97"/>
      <c r="C29" s="97"/>
      <c r="D29" s="97"/>
      <c r="E29" s="98"/>
      <c r="AA29" s="64" t="str">
        <f>CONCATENATE("Раздел   ",IF(Source!C12="1",Source!F52,Source!G52))</f>
        <v>Раздел   Расширение дороги</v>
      </c>
    </row>
    <row r="30" spans="1:5" ht="28.5">
      <c r="A30" s="65" t="str">
        <f>Source!E56</f>
        <v>4</v>
      </c>
      <c r="B30" s="67" t="str">
        <f>Source!G56</f>
        <v>Разработка грунта с погрузкой на автомобили-самосвалы экскаваторами с ковшом вместимостью 0,5 (0,5-0,63) м3, группа грунтов 2</v>
      </c>
      <c r="C30" s="69" t="str">
        <f>Source!H56</f>
        <v>1000 м3</v>
      </c>
      <c r="D30" s="71">
        <f>Source!I56</f>
        <v>0.0205</v>
      </c>
      <c r="E30" s="74"/>
    </row>
    <row r="31" spans="1:5" ht="14.25">
      <c r="A31" s="65" t="str">
        <f>Source!E57</f>
        <v>5</v>
      </c>
      <c r="B31" s="67" t="str">
        <f>Source!G57</f>
        <v>Вывоз грунта на 10 км</v>
      </c>
      <c r="C31" s="69" t="str">
        <f>Source!H57</f>
        <v>т</v>
      </c>
      <c r="D31" s="71">
        <f>Source!I57</f>
        <v>36</v>
      </c>
      <c r="E31" s="74"/>
    </row>
    <row r="32" spans="1:5" ht="14.25">
      <c r="A32" s="65" t="str">
        <f>Source!E58</f>
        <v>6</v>
      </c>
      <c r="B32" s="67" t="str">
        <f>Source!G58</f>
        <v>Устройство подстилающих и выравнивающих слоев оснований из песка</v>
      </c>
      <c r="C32" s="69" t="str">
        <f>Source!H58</f>
        <v>100 м3</v>
      </c>
      <c r="D32" s="71">
        <f>Source!I58</f>
        <v>0.164</v>
      </c>
      <c r="E32" s="74"/>
    </row>
    <row r="33" spans="1:5" ht="14.25">
      <c r="A33" s="65" t="str">
        <f>Source!E59</f>
        <v>6,1</v>
      </c>
      <c r="B33" s="67" t="str">
        <f>Source!G59</f>
        <v>Песок природный для строительных работ средний</v>
      </c>
      <c r="C33" s="69" t="str">
        <f>Source!H59</f>
        <v>м3</v>
      </c>
      <c r="D33" s="71">
        <f>Source!I59</f>
        <v>18.04</v>
      </c>
      <c r="E33" s="74"/>
    </row>
    <row r="34" spans="1:5" ht="14.25">
      <c r="A34" s="65" t="str">
        <f>Source!E60</f>
        <v>7</v>
      </c>
      <c r="B34" s="67" t="str">
        <f>Source!G60</f>
        <v>Устройство подстилающих и выравнивающих слоев оснований из щебня</v>
      </c>
      <c r="C34" s="69" t="str">
        <f>Source!H60</f>
        <v>100 м3</v>
      </c>
      <c r="D34" s="71">
        <f>Source!I60</f>
        <v>0.123</v>
      </c>
      <c r="E34" s="74"/>
    </row>
    <row r="35" spans="1:5" ht="28.5">
      <c r="A35" s="65" t="str">
        <f>Source!E61</f>
        <v>7,1</v>
      </c>
      <c r="B35" s="67" t="str">
        <f>Source!G61</f>
        <v>Щебень известняковый для строительных работ марки 600 фракции 40-70 мм</v>
      </c>
      <c r="C35" s="69" t="str">
        <f>Source!H61</f>
        <v>м3</v>
      </c>
      <c r="D35" s="71">
        <f>Source!I61</f>
        <v>15.375</v>
      </c>
      <c r="E35" s="74"/>
    </row>
    <row r="36" spans="1:27" ht="15.75">
      <c r="A36" s="96" t="str">
        <f>CONCATENATE("Раздел   ",IF(Source!C12="1",Source!F79,Source!G79))</f>
        <v>Раздел   Ремонт парковочного кармана</v>
      </c>
      <c r="B36" s="97"/>
      <c r="C36" s="97"/>
      <c r="D36" s="97"/>
      <c r="E36" s="98"/>
      <c r="AA36" s="64" t="str">
        <f>CONCATENATE("Раздел   ",IF(Source!C12="1",Source!F79,Source!G79))</f>
        <v>Раздел   Ремонт парковочного кармана</v>
      </c>
    </row>
    <row r="37" spans="1:5" ht="14.25">
      <c r="A37" s="65" t="str">
        <f>Source!E83</f>
        <v>8</v>
      </c>
      <c r="B37" s="67" t="str">
        <f>Source!G83</f>
        <v>Устройство подстилающих и выравнивающих слоев оснований из щебня</v>
      </c>
      <c r="C37" s="69" t="str">
        <f>Source!H83</f>
        <v>100 м3</v>
      </c>
      <c r="D37" s="71">
        <f>Source!I83</f>
        <v>0.165</v>
      </c>
      <c r="E37" s="74"/>
    </row>
    <row r="38" spans="1:5" ht="28.5">
      <c r="A38" s="65" t="str">
        <f>Source!E84</f>
        <v>8,1</v>
      </c>
      <c r="B38" s="67" t="str">
        <f>Source!G84</f>
        <v>Щебень известняковый для строительных работ марки 600 фракции 40-70 мм</v>
      </c>
      <c r="C38" s="69" t="str">
        <f>Source!H84</f>
        <v>м3</v>
      </c>
      <c r="D38" s="71">
        <f>Source!I84</f>
        <v>20.625</v>
      </c>
      <c r="E38" s="74"/>
    </row>
    <row r="39" spans="1:5" ht="42.75">
      <c r="A39" s="65" t="str">
        <f>Source!E85</f>
        <v>9</v>
      </c>
      <c r="B39" s="67" t="str">
        <f>Source!G85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C39" s="69" t="str">
        <f>Source!H85</f>
        <v>1000 м2</v>
      </c>
      <c r="D39" s="71">
        <f>Source!I85</f>
        <v>0.11</v>
      </c>
      <c r="E39" s="74"/>
    </row>
    <row r="40" spans="1:5" ht="28.5">
      <c r="A40" s="65" t="str">
        <f>Source!E86</f>
        <v>10</v>
      </c>
      <c r="B40" s="67" t="str">
        <f>Source!G86</f>
        <v>На каждые 0,5 см изменения толщины покрытия добавлять или исключать к расценке 27-06-020-01</v>
      </c>
      <c r="C40" s="69" t="str">
        <f>Source!H86</f>
        <v>1000 м2</v>
      </c>
      <c r="D40" s="71">
        <f>Source!I86</f>
        <v>0.11</v>
      </c>
      <c r="E40" s="74"/>
    </row>
    <row r="41" spans="1:27" ht="15.75">
      <c r="A41" s="96" t="str">
        <f>CONCATENATE("Раздел   ",IF(Source!C12="1",Source!F104,Source!G104))</f>
        <v>Раздел   Ремонт внутриквартальной дороги</v>
      </c>
      <c r="B41" s="97"/>
      <c r="C41" s="97"/>
      <c r="D41" s="97"/>
      <c r="E41" s="98"/>
      <c r="AA41" s="64" t="str">
        <f>CONCATENATE("Раздел   ",IF(Source!C12="1",Source!F104,Source!G104))</f>
        <v>Раздел   Ремонт внутриквартальной дороги</v>
      </c>
    </row>
    <row r="42" spans="1:5" ht="14.25">
      <c r="A42" s="65" t="str">
        <f>Source!E108</f>
        <v>11</v>
      </c>
      <c r="B42" s="67" t="str">
        <f>Source!G108</f>
        <v>Устройство подстилающих и выравнивающих слоев оснований из щебня</v>
      </c>
      <c r="C42" s="69" t="str">
        <f>Source!H108</f>
        <v>100 м3</v>
      </c>
      <c r="D42" s="71">
        <f>Source!I108</f>
        <v>0.765</v>
      </c>
      <c r="E42" s="74"/>
    </row>
    <row r="43" spans="1:5" ht="28.5">
      <c r="A43" s="65" t="str">
        <f>Source!E109</f>
        <v>11,1</v>
      </c>
      <c r="B43" s="67" t="str">
        <f>Source!G109</f>
        <v>Щебень известняковый для строительных работ марки 600 фракции 40-70 мм</v>
      </c>
      <c r="C43" s="69" t="str">
        <f>Source!H109</f>
        <v>м3</v>
      </c>
      <c r="D43" s="71">
        <f>Source!I109</f>
        <v>95.625</v>
      </c>
      <c r="E43" s="74"/>
    </row>
    <row r="44" spans="1:5" ht="42.75">
      <c r="A44" s="65" t="str">
        <f>Source!E110</f>
        <v>12</v>
      </c>
      <c r="B44" s="67" t="str">
        <f>Source!G110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C44" s="69" t="str">
        <f>Source!H110</f>
        <v>1000 м2</v>
      </c>
      <c r="D44" s="71">
        <f>Source!I110</f>
        <v>0.51</v>
      </c>
      <c r="E44" s="74"/>
    </row>
    <row r="45" spans="1:5" ht="28.5">
      <c r="A45" s="65" t="str">
        <f>Source!E111</f>
        <v>13</v>
      </c>
      <c r="B45" s="67" t="str">
        <f>Source!G111</f>
        <v>На каждые 0,5 см изменения толщины покрытия добавлять или исключать к расценке 27-06-020-01</v>
      </c>
      <c r="C45" s="69" t="str">
        <f>Source!H111</f>
        <v>1000 м2</v>
      </c>
      <c r="D45" s="71">
        <f>Source!I111</f>
        <v>0.51</v>
      </c>
      <c r="E45" s="74"/>
    </row>
    <row r="46" spans="1:27" ht="15.75">
      <c r="A46" s="96" t="str">
        <f>CONCATENATE("Раздел   ",IF(Source!C12="1",Source!F129,Source!G129))</f>
        <v>Раздел   Ремонт придомовой территории</v>
      </c>
      <c r="B46" s="97"/>
      <c r="C46" s="97"/>
      <c r="D46" s="97"/>
      <c r="E46" s="98"/>
      <c r="AA46" s="64" t="str">
        <f>CONCATENATE("Раздел   ",IF(Source!C12="1",Source!F129,Source!G129))</f>
        <v>Раздел   Ремонт придомовой территории</v>
      </c>
    </row>
    <row r="47" spans="1:5" ht="14.25">
      <c r="A47" s="65" t="str">
        <f>Source!E133</f>
        <v>14</v>
      </c>
      <c r="B47" s="67" t="str">
        <f>Source!G133</f>
        <v>Устройство подстилающих и выравнивающих слоев оснований из щебня</v>
      </c>
      <c r="C47" s="69" t="str">
        <f>Source!H133</f>
        <v>100 м3</v>
      </c>
      <c r="D47" s="71">
        <f>Source!I133</f>
        <v>0.495</v>
      </c>
      <c r="E47" s="74"/>
    </row>
    <row r="48" spans="1:5" ht="28.5">
      <c r="A48" s="65" t="str">
        <f>Source!E134</f>
        <v>14,1</v>
      </c>
      <c r="B48" s="67" t="str">
        <f>Source!G134</f>
        <v>Щебень известняковый для строительных работ марки 600 фракции 40-70 мм</v>
      </c>
      <c r="C48" s="69" t="str">
        <f>Source!H134</f>
        <v>м3</v>
      </c>
      <c r="D48" s="71">
        <f>Source!I134</f>
        <v>61.875</v>
      </c>
      <c r="E48" s="74"/>
    </row>
    <row r="49" spans="1:5" ht="42.75">
      <c r="A49" s="65" t="str">
        <f>Source!E135</f>
        <v>15</v>
      </c>
      <c r="B49" s="67" t="str">
        <f>Source!G135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C49" s="69" t="str">
        <f>Source!H135</f>
        <v>1000 м2</v>
      </c>
      <c r="D49" s="71">
        <f>Source!I135</f>
        <v>0.33</v>
      </c>
      <c r="E49" s="74"/>
    </row>
    <row r="50" spans="1:5" ht="28.5">
      <c r="A50" s="65" t="str">
        <f>Source!E136</f>
        <v>16</v>
      </c>
      <c r="B50" s="67" t="str">
        <f>Source!G136</f>
        <v>На каждые 0,5 см изменения толщины покрытия добавлять или исключать к расценке 27-06-020-01</v>
      </c>
      <c r="C50" s="69" t="str">
        <f>Source!H136</f>
        <v>1000 м2</v>
      </c>
      <c r="D50" s="71">
        <f>Source!I136</f>
        <v>0.33</v>
      </c>
      <c r="E50" s="74"/>
    </row>
    <row r="51" spans="1:27" ht="15.75">
      <c r="A51" s="96" t="str">
        <f>CONCATENATE("Раздел   ",IF(Source!C12="1",Source!F154,Source!G154))</f>
        <v>Раздел   Устройство тротуара</v>
      </c>
      <c r="B51" s="97"/>
      <c r="C51" s="97"/>
      <c r="D51" s="97"/>
      <c r="E51" s="98"/>
      <c r="AA51" s="64" t="str">
        <f>CONCATENATE("Раздел   ",IF(Source!C12="1",Source!F154,Source!G154))</f>
        <v>Раздел   Устройство тротуара</v>
      </c>
    </row>
    <row r="52" spans="1:5" ht="28.5">
      <c r="A52" s="65" t="str">
        <f>Source!E158</f>
        <v>17</v>
      </c>
      <c r="B52" s="67" t="str">
        <f>Source!G158</f>
        <v>Разработка грунта с погрузкой на автомобили-самосвалы экскаваторами с ковшом вместимостью 0,5 (0,5-0,63) м3, группа грунтов 2</v>
      </c>
      <c r="C52" s="69" t="str">
        <f>Source!H158</f>
        <v>1000 м3</v>
      </c>
      <c r="D52" s="71">
        <f>Source!I158</f>
        <v>0.04641</v>
      </c>
      <c r="E52" s="74"/>
    </row>
    <row r="53" spans="1:5" ht="14.25">
      <c r="A53" s="65" t="str">
        <f>Source!E159</f>
        <v>18</v>
      </c>
      <c r="B53" s="67" t="str">
        <f>Source!G159</f>
        <v>Вывоз грунта на 10 км</v>
      </c>
      <c r="C53" s="69" t="str">
        <f>Source!H159</f>
        <v>т</v>
      </c>
      <c r="D53" s="71">
        <f>Source!I159</f>
        <v>81</v>
      </c>
      <c r="E53" s="74"/>
    </row>
    <row r="54" spans="1:5" ht="14.25">
      <c r="A54" s="65" t="str">
        <f>Source!E160</f>
        <v>19</v>
      </c>
      <c r="B54" s="67" t="str">
        <f>Source!G160</f>
        <v>Устройство подстилающих и выравнивающих слоев оснований из песка</v>
      </c>
      <c r="C54" s="69" t="str">
        <f>Source!H160</f>
        <v>100 м3</v>
      </c>
      <c r="D54" s="71">
        <f>Source!I160</f>
        <v>0.2652</v>
      </c>
      <c r="E54" s="74"/>
    </row>
    <row r="55" spans="1:5" ht="14.25">
      <c r="A55" s="65" t="str">
        <f>Source!E161</f>
        <v>19,1</v>
      </c>
      <c r="B55" s="67" t="str">
        <f>Source!G161</f>
        <v>Песок природный для строительных работ средний</v>
      </c>
      <c r="C55" s="69" t="str">
        <f>Source!H161</f>
        <v>м3</v>
      </c>
      <c r="D55" s="71">
        <f>Source!I161</f>
        <v>29.172</v>
      </c>
      <c r="E55" s="74"/>
    </row>
    <row r="56" spans="1:5" ht="14.25">
      <c r="A56" s="65" t="str">
        <f>Source!E162</f>
        <v>20</v>
      </c>
      <c r="B56" s="67" t="str">
        <f>Source!G162</f>
        <v>Устройство подстилающих и выравнивающих слоев оснований из щебня</v>
      </c>
      <c r="C56" s="69" t="str">
        <f>Source!H162</f>
        <v>100 м3</v>
      </c>
      <c r="D56" s="71">
        <f>Source!I162</f>
        <v>0.1326</v>
      </c>
      <c r="E56" s="74"/>
    </row>
    <row r="57" spans="1:5" ht="28.5">
      <c r="A57" s="65" t="str">
        <f>Source!E163</f>
        <v>20,1</v>
      </c>
      <c r="B57" s="67" t="str">
        <f>Source!G163</f>
        <v>Щебень известняковый для строительных работ марки 600 фракции 40-70 мм</v>
      </c>
      <c r="C57" s="69" t="str">
        <f>Source!H163</f>
        <v>м3</v>
      </c>
      <c r="D57" s="71">
        <f>Source!I163</f>
        <v>16.575</v>
      </c>
      <c r="E57" s="74"/>
    </row>
    <row r="58" spans="1:5" ht="42.75">
      <c r="A58" s="65" t="str">
        <f>Source!E164</f>
        <v>21</v>
      </c>
      <c r="B58" s="67" t="str">
        <f>Source!G164</f>
        <v>Устройство покрытия толщиной 4 см из горячих асфальтобетонных смесей плотных песчаных типа ГД, плотность каменных материалов 2,5-2,9-3 т/м3</v>
      </c>
      <c r="C58" s="69" t="str">
        <f>Source!H164</f>
        <v>1000 м2</v>
      </c>
      <c r="D58" s="71">
        <f>Source!I164</f>
        <v>0.1326</v>
      </c>
      <c r="E58" s="74"/>
    </row>
    <row r="59" spans="1:27" ht="15.75">
      <c r="A59" s="96" t="str">
        <f>CONCATENATE("Раздел   ",IF(Source!C12="1",Source!F182,Source!G182))</f>
        <v>Раздел   Ремонт колодцев</v>
      </c>
      <c r="B59" s="97"/>
      <c r="C59" s="97"/>
      <c r="D59" s="97"/>
      <c r="E59" s="98"/>
      <c r="AA59" s="64" t="str">
        <f>CONCATENATE("Раздел   ",IF(Source!C12="1",Source!F182,Source!G182))</f>
        <v>Раздел   Ремонт колодцев</v>
      </c>
    </row>
    <row r="60" spans="1:5" ht="14.25">
      <c r="A60" s="65" t="str">
        <f>Source!E186</f>
        <v>22</v>
      </c>
      <c r="B60" s="67" t="str">
        <f>Source!G186</f>
        <v>Демонтаж чугунных люков</v>
      </c>
      <c r="C60" s="69" t="str">
        <f>Source!H186</f>
        <v>1 люк</v>
      </c>
      <c r="D60" s="71">
        <f>Source!I186</f>
        <v>3</v>
      </c>
      <c r="E60" s="74"/>
    </row>
    <row r="61" spans="1:5" ht="14.25">
      <c r="A61" s="65" t="str">
        <f>Source!E187</f>
        <v>23</v>
      </c>
      <c r="B61" s="67" t="str">
        <f>Source!G187</f>
        <v>Установка  колец диаметром до 1000 мм</v>
      </c>
      <c r="C61" s="69" t="str">
        <f>Source!H187</f>
        <v>100 м3</v>
      </c>
      <c r="D61" s="71">
        <f>Source!I187</f>
        <v>0.00468</v>
      </c>
      <c r="E61" s="74"/>
    </row>
    <row r="62" spans="1:5" ht="14.25">
      <c r="A62" s="65" t="str">
        <f>Source!E188</f>
        <v>23,1</v>
      </c>
      <c r="B62" s="67" t="str">
        <f>Source!G188</f>
        <v>Кольца для колодцев сборные железобетонные диаметром 700 мм</v>
      </c>
      <c r="C62" s="69" t="str">
        <f>Source!H188</f>
        <v>м</v>
      </c>
      <c r="D62" s="71">
        <f>Source!I188</f>
        <v>2.2500000010799996</v>
      </c>
      <c r="E62" s="74"/>
    </row>
    <row r="63" spans="1:5" ht="14.25">
      <c r="A63" s="65" t="str">
        <f>Source!E189</f>
        <v>24</v>
      </c>
      <c r="B63" s="67" t="str">
        <f>Source!G189</f>
        <v>Установка люка</v>
      </c>
      <c r="C63" s="69" t="str">
        <f>Source!H189</f>
        <v>шт.</v>
      </c>
      <c r="D63" s="71">
        <f>Source!I189</f>
        <v>3</v>
      </c>
      <c r="E63" s="74"/>
    </row>
    <row r="64" spans="1:5" ht="14.25">
      <c r="A64" s="66" t="str">
        <f>Source!E190</f>
        <v>24,1</v>
      </c>
      <c r="B64" s="68" t="str">
        <f>Source!G190</f>
        <v>Люки чугунные тяжелый</v>
      </c>
      <c r="C64" s="70" t="str">
        <f>Source!H190</f>
        <v>шт.</v>
      </c>
      <c r="D64" s="72">
        <f>Source!I190</f>
        <v>-3</v>
      </c>
      <c r="E64" s="73"/>
    </row>
    <row r="68" spans="1:3" s="39" customFormat="1" ht="15.75">
      <c r="A68" s="39" t="s">
        <v>439</v>
      </c>
      <c r="C68" s="39" t="s">
        <v>440</v>
      </c>
    </row>
  </sheetData>
  <sheetProtection/>
  <mergeCells count="9">
    <mergeCell ref="A46:E46"/>
    <mergeCell ref="A51:E51"/>
    <mergeCell ref="A59:E59"/>
    <mergeCell ref="A1:E1"/>
    <mergeCell ref="A20:E20"/>
    <mergeCell ref="A21:E21"/>
    <mergeCell ref="A29:E29"/>
    <mergeCell ref="A36:E36"/>
    <mergeCell ref="A41:E41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9"/>
  <sheetViews>
    <sheetView zoomScale="141" zoomScaleNormal="141"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140625" style="0" bestFit="1" customWidth="1"/>
    <col min="7" max="7" width="11.28125" style="0" customWidth="1"/>
    <col min="8" max="8" width="11.140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90.7109375" style="0" hidden="1" customWidth="1"/>
    <col min="31" max="31" width="0" style="0" hidden="1" customWidth="1"/>
  </cols>
  <sheetData>
    <row r="1" spans="1:12" ht="12.75">
      <c r="A1" s="84" t="str">
        <f>Source!B1</f>
        <v>Smeta.ru  (495) 974-1589</v>
      </c>
      <c r="B1" s="84"/>
      <c r="C1" s="84"/>
      <c r="D1" s="84"/>
      <c r="H1" s="85" t="s">
        <v>403</v>
      </c>
      <c r="I1" s="85"/>
      <c r="J1" s="85"/>
      <c r="K1" s="85"/>
      <c r="L1" s="85"/>
    </row>
    <row r="2" spans="8:12" ht="12.75">
      <c r="H2" s="85" t="s">
        <v>404</v>
      </c>
      <c r="I2" s="85"/>
      <c r="J2" s="85"/>
      <c r="K2" s="85"/>
      <c r="L2" s="85"/>
    </row>
    <row r="3" spans="8:12" ht="12.75">
      <c r="H3" s="85" t="s">
        <v>405</v>
      </c>
      <c r="I3" s="85"/>
      <c r="J3" s="85"/>
      <c r="K3" s="85"/>
      <c r="L3" s="85"/>
    </row>
    <row r="5" spans="11:12" s="14" customFormat="1" ht="15">
      <c r="K5" s="123" t="s">
        <v>406</v>
      </c>
      <c r="L5" s="124"/>
    </row>
    <row r="6" spans="10:12" s="14" customFormat="1" ht="15">
      <c r="J6" s="17" t="s">
        <v>407</v>
      </c>
      <c r="K6" s="81" t="s">
        <v>408</v>
      </c>
      <c r="L6" s="82"/>
    </row>
    <row r="7" spans="1:30" s="14" customFormat="1" ht="15">
      <c r="A7" s="125" t="s">
        <v>409</v>
      </c>
      <c r="B7" s="125"/>
      <c r="C7" s="83"/>
      <c r="D7" s="83"/>
      <c r="E7" s="83"/>
      <c r="F7" s="83"/>
      <c r="G7" s="83"/>
      <c r="H7" s="83"/>
      <c r="I7" s="83"/>
      <c r="J7" s="17" t="s">
        <v>410</v>
      </c>
      <c r="K7" s="123"/>
      <c r="L7" s="124"/>
      <c r="AD7" s="36"/>
    </row>
    <row r="8" spans="1:30" s="14" customFormat="1" ht="15">
      <c r="A8" s="125" t="s">
        <v>411</v>
      </c>
      <c r="B8" s="125"/>
      <c r="C8" s="126" t="str">
        <f>IF(Source!CG12&lt;&gt;"",Source!CG12," ")</f>
        <v> </v>
      </c>
      <c r="D8" s="126"/>
      <c r="E8" s="126"/>
      <c r="F8" s="126"/>
      <c r="G8" s="126"/>
      <c r="H8" s="126"/>
      <c r="I8" s="126"/>
      <c r="J8" s="17" t="s">
        <v>410</v>
      </c>
      <c r="K8" s="123"/>
      <c r="L8" s="124"/>
      <c r="AD8" s="52" t="str">
        <f>IF(Source!CG12&lt;&gt;"",Source!CG12," ")</f>
        <v> </v>
      </c>
    </row>
    <row r="9" spans="1:30" s="14" customFormat="1" ht="15">
      <c r="A9" s="125" t="s">
        <v>412</v>
      </c>
      <c r="B9" s="125"/>
      <c r="C9" s="126" t="str">
        <f>IF(Source!CH12&lt;&gt;"",Source!CH12," ")</f>
        <v> </v>
      </c>
      <c r="D9" s="126"/>
      <c r="E9" s="126"/>
      <c r="F9" s="126"/>
      <c r="G9" s="126"/>
      <c r="H9" s="126"/>
      <c r="I9" s="126"/>
      <c r="J9" s="17" t="s">
        <v>410</v>
      </c>
      <c r="K9" s="123"/>
      <c r="L9" s="124"/>
      <c r="AD9" s="52" t="str">
        <f>IF(Source!CH12&lt;&gt;"",Source!CH12," ")</f>
        <v> </v>
      </c>
    </row>
    <row r="10" spans="1:30" s="14" customFormat="1" ht="45">
      <c r="A10" s="125" t="s">
        <v>413</v>
      </c>
      <c r="B10" s="125"/>
      <c r="C10" s="126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D10" s="126"/>
      <c r="E10" s="126"/>
      <c r="F10" s="126"/>
      <c r="G10" s="126"/>
      <c r="H10" s="126"/>
      <c r="I10" s="126"/>
      <c r="K10" s="123"/>
      <c r="L10" s="124"/>
      <c r="AD10" s="52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</row>
    <row r="11" spans="1:30" s="14" customFormat="1" ht="15">
      <c r="A11" s="125" t="s">
        <v>414</v>
      </c>
      <c r="B11" s="125"/>
      <c r="C11" s="126" t="str">
        <f>IF(Source!F12&lt;&gt;"",Source!F12,IF(Source!E12&lt;&gt;"",Source!E12," "))</f>
        <v>Новый объект</v>
      </c>
      <c r="D11" s="126"/>
      <c r="E11" s="126"/>
      <c r="F11" s="126"/>
      <c r="G11" s="126"/>
      <c r="H11" s="126"/>
      <c r="I11" s="126"/>
      <c r="K11" s="123"/>
      <c r="L11" s="124"/>
      <c r="AD11" s="52" t="str">
        <f>IF(Source!F12&lt;&gt;"",Source!F12,IF(Source!E12&lt;&gt;"",Source!E12," "))</f>
        <v>Новый объект</v>
      </c>
    </row>
    <row r="12" spans="6:12" s="14" customFormat="1" ht="15">
      <c r="F12" s="122" t="s">
        <v>415</v>
      </c>
      <c r="G12" s="122"/>
      <c r="H12" s="122"/>
      <c r="I12" s="122"/>
      <c r="K12" s="123"/>
      <c r="L12" s="124"/>
    </row>
    <row r="13" spans="6:12" s="14" customFormat="1" ht="15">
      <c r="F13" s="125" t="s">
        <v>416</v>
      </c>
      <c r="G13" s="125"/>
      <c r="H13" s="125"/>
      <c r="I13" s="125"/>
      <c r="J13" s="19" t="s">
        <v>417</v>
      </c>
      <c r="K13" s="123"/>
      <c r="L13" s="124"/>
    </row>
    <row r="14" spans="10:12" s="14" customFormat="1" ht="15">
      <c r="J14" s="24" t="s">
        <v>418</v>
      </c>
      <c r="K14" s="113"/>
      <c r="L14" s="114"/>
    </row>
    <row r="15" spans="11:12" ht="12.75">
      <c r="K15" s="50"/>
      <c r="L15" s="50"/>
    </row>
    <row r="17" spans="6:12" ht="39" customHeight="1">
      <c r="F17" s="115" t="s">
        <v>419</v>
      </c>
      <c r="G17" s="116"/>
      <c r="H17" s="115" t="s">
        <v>420</v>
      </c>
      <c r="I17" s="120"/>
      <c r="K17" s="115" t="s">
        <v>421</v>
      </c>
      <c r="L17" s="120"/>
    </row>
    <row r="18" spans="6:12" ht="15">
      <c r="F18" s="117"/>
      <c r="G18" s="118"/>
      <c r="H18" s="117"/>
      <c r="I18" s="121"/>
      <c r="K18" s="55" t="s">
        <v>422</v>
      </c>
      <c r="L18" s="56" t="s">
        <v>423</v>
      </c>
    </row>
    <row r="19" spans="6:12" ht="15">
      <c r="F19" s="113"/>
      <c r="G19" s="119"/>
      <c r="H19" s="113"/>
      <c r="I19" s="114"/>
      <c r="J19" s="50"/>
      <c r="K19" s="53"/>
      <c r="L19" s="54"/>
    </row>
    <row r="22" spans="1:12" s="46" customFormat="1" ht="18">
      <c r="A22" s="109" t="s">
        <v>424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4" spans="1:12" s="5" customFormat="1" ht="11.25">
      <c r="A24" s="110" t="s">
        <v>425</v>
      </c>
      <c r="B24" s="110"/>
      <c r="C24" s="110"/>
      <c r="D24" s="110"/>
      <c r="E24" s="110"/>
      <c r="F24" s="110"/>
      <c r="G24" s="110"/>
      <c r="H24" s="110"/>
      <c r="I24" s="110"/>
      <c r="J24" s="57">
        <f>IF(AND(Source!P12&lt;&gt;0,Source!Q12&lt;&gt;0),DATE(Source!P12,Source!Q12,1),IF(Source!AF12=0,"",IF(Source!AN12=0,"",DATE(Source!AF12,Source!AN12,1))))</f>
        <v>41061</v>
      </c>
      <c r="K24" s="58">
        <f>IF(AND(Source!P12&lt;&gt;0,Source!Q12&lt;&gt;0),Source!P12,IF(Source!AF12=0,"",Source!AF12))</f>
        <v>2012</v>
      </c>
      <c r="L24" s="59" t="s">
        <v>426</v>
      </c>
    </row>
    <row r="25" spans="1:12" ht="15">
      <c r="A25" s="18"/>
      <c r="B25" s="18"/>
      <c r="C25" s="18"/>
      <c r="D25" s="18"/>
      <c r="E25" s="18"/>
      <c r="F25" s="19" t="s">
        <v>366</v>
      </c>
      <c r="G25" s="19" t="s">
        <v>370</v>
      </c>
      <c r="H25" s="19" t="s">
        <v>374</v>
      </c>
      <c r="I25" s="19" t="s">
        <v>378</v>
      </c>
      <c r="J25" s="19" t="s">
        <v>382</v>
      </c>
      <c r="K25" s="19" t="s">
        <v>374</v>
      </c>
      <c r="L25" s="20" t="s">
        <v>386</v>
      </c>
    </row>
    <row r="26" spans="1:12" ht="15">
      <c r="A26" s="21" t="s">
        <v>354</v>
      </c>
      <c r="B26" s="21" t="s">
        <v>356</v>
      </c>
      <c r="C26" s="22"/>
      <c r="D26" s="21" t="s">
        <v>361</v>
      </c>
      <c r="E26" s="21" t="s">
        <v>364</v>
      </c>
      <c r="F26" s="21" t="s">
        <v>367</v>
      </c>
      <c r="G26" s="21" t="s">
        <v>371</v>
      </c>
      <c r="H26" s="21" t="s">
        <v>375</v>
      </c>
      <c r="I26" s="21" t="s">
        <v>379</v>
      </c>
      <c r="J26" s="21" t="s">
        <v>373</v>
      </c>
      <c r="K26" s="21" t="s">
        <v>383</v>
      </c>
      <c r="L26" s="23" t="s">
        <v>387</v>
      </c>
    </row>
    <row r="27" spans="1:12" ht="15">
      <c r="A27" s="21" t="s">
        <v>355</v>
      </c>
      <c r="B27" s="21" t="s">
        <v>357</v>
      </c>
      <c r="C27" s="21" t="s">
        <v>360</v>
      </c>
      <c r="D27" s="21" t="s">
        <v>362</v>
      </c>
      <c r="E27" s="21" t="s">
        <v>365</v>
      </c>
      <c r="F27" s="21" t="s">
        <v>368</v>
      </c>
      <c r="G27" s="21" t="s">
        <v>372</v>
      </c>
      <c r="H27" s="21" t="s">
        <v>376</v>
      </c>
      <c r="I27" s="21" t="s">
        <v>380</v>
      </c>
      <c r="J27" s="21" t="s">
        <v>380</v>
      </c>
      <c r="K27" s="21" t="s">
        <v>384</v>
      </c>
      <c r="L27" s="23" t="s">
        <v>388</v>
      </c>
    </row>
    <row r="28" spans="1:12" ht="15">
      <c r="A28" s="22"/>
      <c r="B28" s="21" t="s">
        <v>358</v>
      </c>
      <c r="C28" s="22"/>
      <c r="D28" s="21" t="s">
        <v>363</v>
      </c>
      <c r="E28" s="22"/>
      <c r="F28" s="21" t="s">
        <v>369</v>
      </c>
      <c r="G28" s="21" t="s">
        <v>373</v>
      </c>
      <c r="H28" s="21" t="s">
        <v>377</v>
      </c>
      <c r="I28" s="21" t="s">
        <v>381</v>
      </c>
      <c r="J28" s="21" t="s">
        <v>381</v>
      </c>
      <c r="K28" s="21" t="s">
        <v>385</v>
      </c>
      <c r="L28" s="23"/>
    </row>
    <row r="29" spans="1:12" ht="15">
      <c r="A29" s="22"/>
      <c r="B29" s="21" t="s">
        <v>359</v>
      </c>
      <c r="C29" s="22"/>
      <c r="D29" s="22"/>
      <c r="E29" s="22"/>
      <c r="F29" s="22"/>
      <c r="G29" s="21"/>
      <c r="H29" s="21"/>
      <c r="I29" s="21"/>
      <c r="J29" s="21"/>
      <c r="K29" s="21"/>
      <c r="L29" s="23"/>
    </row>
    <row r="30" spans="1:12" ht="1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  <c r="L30" s="25">
        <v>12</v>
      </c>
    </row>
    <row r="31" spans="3:30" ht="18">
      <c r="C31" s="26" t="s">
        <v>389</v>
      </c>
      <c r="D31" s="111" t="str">
        <f>IF(Source!C12="1",Source!F20,Source!G20)</f>
        <v>Новая локальная смета</v>
      </c>
      <c r="E31" s="112"/>
      <c r="F31" s="112"/>
      <c r="G31" s="112"/>
      <c r="H31" s="112"/>
      <c r="I31" s="112"/>
      <c r="J31" s="112"/>
      <c r="K31" s="112"/>
      <c r="L31" s="112"/>
      <c r="AD31" s="27" t="str">
        <f>IF(Source!C12="1",Source!F20,Source!G20)</f>
        <v>Новая локальная смета</v>
      </c>
    </row>
    <row r="33" spans="3:30" ht="18">
      <c r="C33" s="26" t="s">
        <v>390</v>
      </c>
      <c r="D33" s="106" t="str">
        <f>IF(Source!C12="1",Source!F24,Source!G24)</f>
        <v>Замена бортового камня</v>
      </c>
      <c r="E33" s="108"/>
      <c r="F33" s="108"/>
      <c r="G33" s="108"/>
      <c r="H33" s="108"/>
      <c r="I33" s="108"/>
      <c r="J33" s="108"/>
      <c r="K33" s="108"/>
      <c r="L33" s="108"/>
      <c r="AD33" s="28" t="str">
        <f>IF(Source!C12="1",Source!F24,Source!G24)</f>
        <v>Замена бортового камня</v>
      </c>
    </row>
    <row r="35" spans="1:12" ht="30">
      <c r="A35" s="29" t="str">
        <f>Source!E28</f>
        <v>1</v>
      </c>
      <c r="B35" s="29" t="str">
        <f>Source!F28</f>
        <v>27-03-010-1</v>
      </c>
      <c r="C35" s="30" t="str">
        <f>Source!G28</f>
        <v>Разборка бортовых камней на бетонном основании</v>
      </c>
      <c r="D35" s="31" t="str">
        <f>Source!H28</f>
        <v>100 м</v>
      </c>
      <c r="E35" s="14">
        <f>ROUND(Source!I28,6)</f>
        <v>1.32</v>
      </c>
      <c r="F35" s="16">
        <f>IF(Source!AK28&lt;&gt;0,Source!AK28,Source!AL28+Source!AM28+Source!AO28)</f>
        <v>615.13</v>
      </c>
      <c r="G35" s="14"/>
      <c r="H35" s="14"/>
      <c r="I35" s="32" t="str">
        <f>IF(Source!BO28&lt;&gt;"",Source!BO28,"")</f>
        <v>27-03-010-1</v>
      </c>
      <c r="J35" s="14"/>
      <c r="K35" s="14"/>
      <c r="L35" s="14"/>
    </row>
    <row r="36" spans="1:12" ht="15">
      <c r="A36" s="14"/>
      <c r="B36" s="14"/>
      <c r="C36" s="14" t="s">
        <v>391</v>
      </c>
      <c r="D36" s="14"/>
      <c r="E36" s="14"/>
      <c r="F36" s="16">
        <f>Source!AO28</f>
        <v>615.13</v>
      </c>
      <c r="G36" s="32">
        <f>Source!DG28</f>
      </c>
      <c r="H36" s="16">
        <f>ROUND((Source!CT28/IF(Source!BA28&lt;&gt;0,Source!BA28,1)*Source!I28),2)</f>
        <v>811.97</v>
      </c>
      <c r="I36" s="14"/>
      <c r="J36" s="14">
        <f>Source!BA28</f>
        <v>17.84</v>
      </c>
      <c r="K36" s="16">
        <f>Source!S28</f>
        <v>14485.57</v>
      </c>
      <c r="L36" s="14"/>
    </row>
    <row r="37" spans="1:24" ht="15">
      <c r="A37" s="14"/>
      <c r="B37" s="14"/>
      <c r="C37" s="14" t="s">
        <v>392</v>
      </c>
      <c r="D37" s="17" t="s">
        <v>393</v>
      </c>
      <c r="E37" s="14"/>
      <c r="F37" s="16">
        <f>Source!BZ28</f>
        <v>142</v>
      </c>
      <c r="G37" s="14"/>
      <c r="H37" s="16">
        <f>X37</f>
        <v>1153</v>
      </c>
      <c r="I37" s="14" t="str">
        <f>Source!FV28</f>
        <v>((*0.85))</v>
      </c>
      <c r="J37" s="16">
        <f>Source!AT28</f>
        <v>121</v>
      </c>
      <c r="K37" s="16">
        <f>Source!X28</f>
        <v>17527.54</v>
      </c>
      <c r="L37" s="14"/>
      <c r="X37">
        <f>ROUND((Source!FX28/100)*(ROUND((Source!CT28/IF(Source!BA28&lt;&gt;0,Source!BA28,1)*Source!I28),2)+ROUND((Source!CS28/IF(Source!BS28&lt;&gt;0,Source!BS28,1)*Source!I28),2)),2)</f>
        <v>1153</v>
      </c>
    </row>
    <row r="38" spans="1:25" ht="15">
      <c r="A38" s="14"/>
      <c r="B38" s="14"/>
      <c r="C38" s="14" t="s">
        <v>74</v>
      </c>
      <c r="D38" s="17" t="s">
        <v>393</v>
      </c>
      <c r="E38" s="14"/>
      <c r="F38" s="16">
        <f>Source!CA28</f>
        <v>95</v>
      </c>
      <c r="G38" s="14" t="str">
        <f>Source!FU28</f>
        <v>*0.85</v>
      </c>
      <c r="H38" s="16">
        <f>Y38</f>
        <v>655.67</v>
      </c>
      <c r="I38" s="14" t="str">
        <f>Source!FW28</f>
        <v>((*0.8))</v>
      </c>
      <c r="J38" s="16">
        <f>Source!AU28</f>
        <v>65</v>
      </c>
      <c r="K38" s="16">
        <f>Source!Y28</f>
        <v>9415.62</v>
      </c>
      <c r="L38" s="14"/>
      <c r="Y38">
        <f>ROUND((Source!FY28/100)*(ROUND((Source!CT28/IF(Source!BA28&lt;&gt;0,Source!BA28,1)*Source!I28),2)+ROUND((Source!CS28/IF(Source!BS28&lt;&gt;0,Source!BS28,1)*Source!I28),2)),2)</f>
        <v>655.67</v>
      </c>
    </row>
    <row r="39" spans="1:12" ht="15">
      <c r="A39" s="34"/>
      <c r="B39" s="34"/>
      <c r="C39" s="34" t="s">
        <v>394</v>
      </c>
      <c r="D39" s="35" t="s">
        <v>395</v>
      </c>
      <c r="E39" s="34">
        <f>Source!AQ28</f>
        <v>76.7</v>
      </c>
      <c r="F39" s="34"/>
      <c r="G39" s="36">
        <f>Source!DI28</f>
      </c>
      <c r="H39" s="34"/>
      <c r="I39" s="34"/>
      <c r="J39" s="34"/>
      <c r="K39" s="34"/>
      <c r="L39" s="37">
        <f>Source!U28</f>
        <v>101.24400000000001</v>
      </c>
    </row>
    <row r="40" spans="1:23" ht="15.75">
      <c r="A40" s="14"/>
      <c r="B40" s="14"/>
      <c r="C40" s="14"/>
      <c r="D40" s="14"/>
      <c r="E40" s="14"/>
      <c r="F40" s="14"/>
      <c r="G40" s="14"/>
      <c r="H40" s="38">
        <f>ROUND((Source!CT28/IF(Source!BA28&lt;&gt;0,Source!BA28,1)*Source!I28),2)+ROUND((Source!CR28/IF(Source!BB28&lt;&gt;0,Source!BB28,1)*Source!I28),2)+H37+H38</f>
        <v>2620.64</v>
      </c>
      <c r="I40" s="39"/>
      <c r="J40" s="39"/>
      <c r="K40" s="38">
        <f>Source!S28+Source!Q28+K37+K38</f>
        <v>41428.73</v>
      </c>
      <c r="L40" s="38">
        <f>Source!U28</f>
        <v>101.24400000000001</v>
      </c>
      <c r="M40" s="33">
        <f>H40</f>
        <v>2620.64</v>
      </c>
      <c r="N40">
        <f>ROUND((Source!CT28/IF(Source!BA28&lt;&gt;0,Source!BA28,1)*Source!I28),2)</f>
        <v>811.97</v>
      </c>
      <c r="O40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2620.638339</v>
      </c>
      <c r="P40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40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40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40">
        <f>IF(Source!BI28=1,Source!O28+Source!X28+Source!Y28,0)</f>
        <v>41428.73</v>
      </c>
      <c r="T40">
        <f>IF(Source!BI28=2,Source!O28+Source!X28+Source!Y28,0)</f>
        <v>0</v>
      </c>
      <c r="U40">
        <f>IF(Source!BI28=3,Source!O28+Source!X28+Source!Y28,0)</f>
        <v>0</v>
      </c>
      <c r="V40">
        <f>IF(Source!BI28=4,Source!O28+Source!X28+Source!Y28,0)</f>
        <v>0</v>
      </c>
      <c r="W40">
        <f>ROUND((Source!CS28/IF(Source!BS28&lt;&gt;0,Source!BS28,1)*Source!I28),2)</f>
        <v>0</v>
      </c>
    </row>
    <row r="41" spans="1:12" ht="45">
      <c r="A41" s="29" t="str">
        <f>Source!E29</f>
        <v>2</v>
      </c>
      <c r="B41" s="29" t="str">
        <f>Source!F29</f>
        <v>27-02-010-2</v>
      </c>
      <c r="C41" s="30" t="str">
        <f>Source!G29</f>
        <v>Установка бортовых камней бетонных при других видах покрытий</v>
      </c>
      <c r="D41" s="31" t="str">
        <f>Source!H29</f>
        <v>100 м</v>
      </c>
      <c r="E41" s="14">
        <f>ROUND(Source!I29,6)</f>
        <v>0.78</v>
      </c>
      <c r="F41" s="16">
        <f>IF(Source!AK29&lt;&gt;0,Source!AK29,Source!AL29+Source!AM29+Source!AO29)</f>
        <v>4682.610000000001</v>
      </c>
      <c r="G41" s="14"/>
      <c r="H41" s="14"/>
      <c r="I41" s="32" t="str">
        <f>IF(Source!BO29&lt;&gt;"",Source!BO29,"")</f>
        <v>27-02-010-2</v>
      </c>
      <c r="J41" s="14"/>
      <c r="K41" s="14"/>
      <c r="L41" s="14"/>
    </row>
    <row r="42" spans="1:12" ht="15">
      <c r="A42" s="14"/>
      <c r="B42" s="14"/>
      <c r="C42" s="14" t="s">
        <v>391</v>
      </c>
      <c r="D42" s="14"/>
      <c r="E42" s="14"/>
      <c r="F42" s="16">
        <f>Source!AO29</f>
        <v>643.64</v>
      </c>
      <c r="G42" s="32">
        <f>Source!DG29</f>
      </c>
      <c r="H42" s="16">
        <f>ROUND((Source!CT29/IF(Source!BA29&lt;&gt;0,Source!BA29,1)*Source!I29),2)</f>
        <v>502.04</v>
      </c>
      <c r="I42" s="14"/>
      <c r="J42" s="14">
        <f>Source!BA29</f>
        <v>17.84</v>
      </c>
      <c r="K42" s="16">
        <f>Source!S29</f>
        <v>8956.38</v>
      </c>
      <c r="L42" s="14"/>
    </row>
    <row r="43" spans="1:12" ht="15">
      <c r="A43" s="14"/>
      <c r="B43" s="14"/>
      <c r="C43" s="14" t="s">
        <v>58</v>
      </c>
      <c r="D43" s="14"/>
      <c r="E43" s="14"/>
      <c r="F43" s="16">
        <f>Source!AM29</f>
        <v>79.65</v>
      </c>
      <c r="G43" s="32">
        <f>Source!DE29</f>
      </c>
      <c r="H43" s="16">
        <f>ROUND((Source!CR29/IF(Source!BB29&lt;&gt;0,Source!BB29,1)*Source!I29),2)</f>
        <v>62.13</v>
      </c>
      <c r="I43" s="14"/>
      <c r="J43" s="14">
        <f>Source!BB29</f>
        <v>7.17</v>
      </c>
      <c r="K43" s="16">
        <f>Source!Q29</f>
        <v>445.45</v>
      </c>
      <c r="L43" s="14"/>
    </row>
    <row r="44" spans="1:12" ht="15">
      <c r="A44" s="14"/>
      <c r="B44" s="14"/>
      <c r="C44" s="14" t="s">
        <v>396</v>
      </c>
      <c r="D44" s="14"/>
      <c r="E44" s="14"/>
      <c r="F44" s="16">
        <f>Source!AN29</f>
        <v>9.18</v>
      </c>
      <c r="G44" s="32">
        <f>Source!DF29</f>
      </c>
      <c r="H44" s="40">
        <f>ROUND((Source!CS29/IF(Source!BS29&lt;&gt;0,Source!BS29,1)*Source!I29),2)</f>
        <v>7.16</v>
      </c>
      <c r="I44" s="14"/>
      <c r="J44" s="14">
        <f>Source!BS29</f>
        <v>17.84</v>
      </c>
      <c r="K44" s="40">
        <f>Source!R29</f>
        <v>127.74</v>
      </c>
      <c r="L44" s="14"/>
    </row>
    <row r="45" spans="1:12" ht="15">
      <c r="A45" s="14"/>
      <c r="B45" s="14"/>
      <c r="C45" s="14" t="s">
        <v>397</v>
      </c>
      <c r="D45" s="14"/>
      <c r="E45" s="14"/>
      <c r="F45" s="16">
        <f>Source!AL29</f>
        <v>3959.32</v>
      </c>
      <c r="G45" s="32">
        <f>Source!DD29</f>
      </c>
      <c r="H45" s="16">
        <f>ROUND((Source!CQ29/IF(Source!BC29&lt;&gt;0,Source!BC29,1)*Source!I29),2)</f>
        <v>3088.27</v>
      </c>
      <c r="I45" s="14"/>
      <c r="J45" s="14">
        <f>Source!BC29</f>
        <v>5.33</v>
      </c>
      <c r="K45" s="16">
        <f>Source!P29</f>
        <v>16460.48</v>
      </c>
      <c r="L45" s="14"/>
    </row>
    <row r="46" spans="1:24" ht="15">
      <c r="A46" s="14"/>
      <c r="B46" s="14"/>
      <c r="C46" s="14" t="s">
        <v>392</v>
      </c>
      <c r="D46" s="17" t="s">
        <v>393</v>
      </c>
      <c r="E46" s="14"/>
      <c r="F46" s="16">
        <f>Source!BZ29</f>
        <v>142</v>
      </c>
      <c r="G46" s="14"/>
      <c r="H46" s="16">
        <f>X46+X49+X50</f>
        <v>723.06</v>
      </c>
      <c r="I46" s="14" t="str">
        <f>Source!FV29</f>
        <v>((*0.85))</v>
      </c>
      <c r="J46" s="16">
        <f>Source!AT29</f>
        <v>121</v>
      </c>
      <c r="K46" s="16">
        <f>Source!X29+Source!X30+Source!X31</f>
        <v>10991.79</v>
      </c>
      <c r="L46" s="14"/>
      <c r="X46">
        <f>ROUND((Source!FX29/100)*(ROUND((Source!CT29/IF(Source!BA29&lt;&gt;0,Source!BA29,1)*Source!I29),2)+ROUND((Source!CS29/IF(Source!BS29&lt;&gt;0,Source!BS29,1)*Source!I29),2)),2)</f>
        <v>723.06</v>
      </c>
    </row>
    <row r="47" spans="1:25" ht="15">
      <c r="A47" s="14"/>
      <c r="B47" s="14"/>
      <c r="C47" s="14" t="s">
        <v>74</v>
      </c>
      <c r="D47" s="17" t="s">
        <v>393</v>
      </c>
      <c r="E47" s="14"/>
      <c r="F47" s="16">
        <f>Source!CA29</f>
        <v>95</v>
      </c>
      <c r="G47" s="14" t="str">
        <f>Source!FU29</f>
        <v>*0.85</v>
      </c>
      <c r="H47" s="16">
        <f>Y47+Y49+Y50</f>
        <v>411.18</v>
      </c>
      <c r="I47" s="14" t="str">
        <f>Source!FW29</f>
        <v>((*0.8))</v>
      </c>
      <c r="J47" s="16">
        <f>Source!AU29</f>
        <v>65</v>
      </c>
      <c r="K47" s="16">
        <f>Source!Y29+Source!Y30+Source!Y31</f>
        <v>5904.68</v>
      </c>
      <c r="L47" s="14"/>
      <c r="Y47">
        <f>ROUND((Source!FY29/100)*(ROUND((Source!CT29/IF(Source!BA29&lt;&gt;0,Source!BA29,1)*Source!I29),2)+ROUND((Source!CS29/IF(Source!BS29&lt;&gt;0,Source!BS29,1)*Source!I29),2)),2)</f>
        <v>411.18</v>
      </c>
    </row>
    <row r="48" spans="1:12" ht="15">
      <c r="A48" s="14"/>
      <c r="B48" s="14"/>
      <c r="C48" s="14" t="s">
        <v>394</v>
      </c>
      <c r="D48" s="17" t="s">
        <v>395</v>
      </c>
      <c r="E48" s="14">
        <f>Source!AQ29</f>
        <v>76.08</v>
      </c>
      <c r="F48" s="14"/>
      <c r="G48" s="32">
        <f>Source!DI29</f>
      </c>
      <c r="H48" s="14"/>
      <c r="I48" s="14"/>
      <c r="J48" s="14"/>
      <c r="K48" s="14"/>
      <c r="L48" s="16">
        <f>Source!U29</f>
        <v>59.3424</v>
      </c>
    </row>
    <row r="49" spans="1:25" ht="45">
      <c r="A49" s="29"/>
      <c r="B49" s="29" t="str">
        <f>Source!F30</f>
        <v>403-8021</v>
      </c>
      <c r="C49" s="30" t="str">
        <f>Source!G30</f>
        <v>Камни бортовые БР 100.30.15 / бетон В30 (М400), объем 0,043 м3/ (ГОСТ 6665-91)</v>
      </c>
      <c r="D49" s="31" t="str">
        <f>Source!H30</f>
        <v>шт.</v>
      </c>
      <c r="E49" s="14">
        <f>ROUND(Source!I30,6)</f>
        <v>78</v>
      </c>
      <c r="F49" s="16">
        <f>IF(Source!AL30=0,Source!AK30,Source!AL30)</f>
        <v>63.31</v>
      </c>
      <c r="G49" s="32">
        <f>Source!DD30</f>
      </c>
      <c r="H49" s="41">
        <f>ROUND((Source!CR30/IF(Source!BB30&lt;&gt;0,Source!BB30,1)*Source!I30),2)+ROUND((Source!CQ30/IF(Source!BC30&lt;&gt;0,Source!BC30,1)*Source!I30),2)+ROUND((Source!CT30/IF(Source!BA30&lt;&gt;0,Source!BA30,1)*Source!I30),2)</f>
        <v>4938.18</v>
      </c>
      <c r="I49" s="32" t="str">
        <f>IF(Source!BO30&lt;&gt;"",Source!BO30,"")</f>
        <v>403-8021</v>
      </c>
      <c r="J49" s="14">
        <f>Source!BC30</f>
        <v>3.74</v>
      </c>
      <c r="K49" s="16">
        <f>Source!O30</f>
        <v>18468.79</v>
      </c>
      <c r="L49" s="14"/>
      <c r="N49">
        <f>ROUND((Source!CT30/IF(Source!BA30&lt;&gt;0,Source!BA30,1)*Source!I30),2)</f>
        <v>0</v>
      </c>
      <c r="O49">
        <f>IF(Source!BI30=1,(ROUND((Source!CR30/IF(Source!BB30&lt;&gt;0,Source!BB30,1)*Source!I30),2)+ROUND((Source!CQ30/IF(Source!BC30&lt;&gt;0,Source!BC30,1)*Source!I30),2)+ROUND((Source!CT30/IF(Source!BA30&lt;&gt;0,Source!BA30,1)*Source!I30),2)),0)</f>
        <v>4938.18</v>
      </c>
      <c r="P49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49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49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49">
        <f>IF(Source!BI30=1,Source!O30+Source!X30+Source!Y30,0)</f>
        <v>18468.79</v>
      </c>
      <c r="T49">
        <f>IF(Source!BI30=2,Source!O30+Source!X30+Source!Y30,0)</f>
        <v>0</v>
      </c>
      <c r="U49">
        <f>IF(Source!BI30=3,Source!O30+Source!X30+Source!Y30,0)</f>
        <v>0</v>
      </c>
      <c r="V49">
        <f>IF(Source!BI30=4,Source!O30+Source!X30+Source!Y30,0)</f>
        <v>0</v>
      </c>
      <c r="W49">
        <f>ROUND((Source!CS30/IF(Source!BS30&lt;&gt;0,Source!BS30,1)*Source!I30),2)</f>
        <v>0</v>
      </c>
      <c r="X49">
        <f>ROUND((Source!FX30/100)*(ROUND((Source!CT30/IF(Source!BA30&lt;&gt;0,Source!BA30,1)*Source!I30),2)+ROUND((Source!CS30/IF(Source!BS30&lt;&gt;0,Source!BS30,1)*Source!I30),2)),2)</f>
        <v>0</v>
      </c>
      <c r="Y49">
        <f>ROUND((Source!FY30/100)*(ROUND((Source!CT30/IF(Source!BA30&lt;&gt;0,Source!BA30,1)*Source!I30),2)+ROUND((Source!CS30/IF(Source!BS30&lt;&gt;0,Source!BS30,1)*Source!I30),2)),2)</f>
        <v>0</v>
      </c>
    </row>
    <row r="50" spans="1:25" ht="30">
      <c r="A50" s="42"/>
      <c r="B50" s="42" t="str">
        <f>Source!F31</f>
        <v>413-9010</v>
      </c>
      <c r="C50" s="43" t="str">
        <f>Source!G31</f>
        <v>Камни бортовые</v>
      </c>
      <c r="D50" s="44" t="str">
        <f>Source!H31</f>
        <v>м</v>
      </c>
      <c r="E50" s="34">
        <f>ROUND(Source!I31,6)</f>
        <v>78</v>
      </c>
      <c r="F50" s="37">
        <f>IF(Source!GB31=0,Source!GA31,Source!GB31)</f>
        <v>0</v>
      </c>
      <c r="G50" s="36">
        <f>Source!DD31</f>
      </c>
      <c r="H50" s="45">
        <f>ROUND((Source!GF31*Source!I31),2)</f>
        <v>0</v>
      </c>
      <c r="I50" s="36" t="str">
        <f>IF(Source!BO31&lt;&gt;"",Source!BO31,"")</f>
        <v>413-9010</v>
      </c>
      <c r="J50" s="34">
        <f>Source!BC31</f>
        <v>1</v>
      </c>
      <c r="K50" s="37">
        <f>Source!O31</f>
        <v>0</v>
      </c>
      <c r="L50" s="34"/>
      <c r="N50">
        <f>ROUND(Source!GJ31*Source!I31,2)</f>
        <v>0</v>
      </c>
      <c r="O50">
        <f>IF(Source!BI31=1,(ROUND((Source!GF31*Source!I31),2)),0)</f>
        <v>0</v>
      </c>
      <c r="P50">
        <f>IF(Source!BI31=2,(ROUND((Source!GF31*Source!I31),2)),0)</f>
        <v>0</v>
      </c>
      <c r="Q50">
        <f>IF(Source!BI31=3,(ROUND((Source!GF31*Source!I31),2)),0)</f>
        <v>0</v>
      </c>
      <c r="R50">
        <f>IF(Source!BI31=4,(ROUND((Source!GF31*Source!I31),2)),0)</f>
        <v>0</v>
      </c>
      <c r="S50">
        <f>IF(Source!BI31=1,Source!O31+Source!X31+Source!Y31,0)</f>
        <v>0</v>
      </c>
      <c r="T50">
        <f>IF(Source!BI31=2,Source!O31+Source!X31+Source!Y31,0)</f>
        <v>0</v>
      </c>
      <c r="U50">
        <f>IF(Source!BI31=3,Source!O31+Source!X31+Source!Y31,0)</f>
        <v>0</v>
      </c>
      <c r="V50">
        <f>IF(Source!BI31=4,Source!O31+Source!X31+Source!Y31,0)</f>
        <v>0</v>
      </c>
      <c r="W50">
        <f>ROUND(Source!GI31*Source!I31,2)</f>
        <v>0</v>
      </c>
      <c r="X50">
        <f>ROUND((Source!FX31/100)*(ROUND(Source!GJ31*Source!I31,2)+ROUND(Source!GI31*Source!I31,2)),2)</f>
        <v>0</v>
      </c>
      <c r="Y50">
        <f>ROUND((Source!FY31/100)*(ROUND(Source!GJ31*Source!I31,2)+ROUND(Source!GI31*Source!I31,2)),2)</f>
        <v>0</v>
      </c>
    </row>
    <row r="51" spans="1:23" ht="15.75">
      <c r="A51" s="14"/>
      <c r="B51" s="14"/>
      <c r="C51" s="14"/>
      <c r="D51" s="14"/>
      <c r="E51" s="14"/>
      <c r="F51" s="14"/>
      <c r="G51" s="14"/>
      <c r="H51" s="38">
        <f>ROUND((Source!CT29/IF(Source!BA29&lt;&gt;0,Source!BA29,1)*Source!I29),2)+ROUND((Source!CR29/IF(Source!BB29&lt;&gt;0,Source!BB29,1)*Source!I29),2)+H45+H46+H47+H49+H50</f>
        <v>9724.86</v>
      </c>
      <c r="I51" s="39"/>
      <c r="J51" s="39"/>
      <c r="K51" s="38">
        <f>Source!S29+Source!Q29+K45+K46+K47+K49+K50</f>
        <v>61227.57</v>
      </c>
      <c r="L51" s="38">
        <f>Source!U29</f>
        <v>59.3424</v>
      </c>
      <c r="M51" s="33">
        <f>H51</f>
        <v>9724.86</v>
      </c>
      <c r="N51">
        <f>ROUND((Source!CT29/IF(Source!BA29&lt;&gt;0,Source!BA29,1)*Source!I29),2)</f>
        <v>502.04</v>
      </c>
      <c r="O51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4786.677909</v>
      </c>
      <c r="P51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51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51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51">
        <f>IF(Source!BI29=1,Source!O29+Source!X29+Source!Y29,0)</f>
        <v>42758.780000000006</v>
      </c>
      <c r="T51">
        <f>IF(Source!BI29=2,Source!O29+Source!X29+Source!Y29,0)</f>
        <v>0</v>
      </c>
      <c r="U51">
        <f>IF(Source!BI29=3,Source!O29+Source!X29+Source!Y29,0)</f>
        <v>0</v>
      </c>
      <c r="V51">
        <f>IF(Source!BI29=4,Source!O29+Source!X29+Source!Y29,0)</f>
        <v>0</v>
      </c>
      <c r="W51">
        <f>ROUND((Source!CS29/IF(Source!BS29&lt;&gt;0,Source!BS29,1)*Source!I29),2)</f>
        <v>7.16</v>
      </c>
    </row>
    <row r="52" spans="1:12" ht="45">
      <c r="A52" s="29" t="str">
        <f>Source!E32</f>
        <v>3</v>
      </c>
      <c r="B52" s="29" t="str">
        <f>Source!F32</f>
        <v>27-02-010-2</v>
      </c>
      <c r="C52" s="30" t="str">
        <f>Source!G32</f>
        <v>Установка бортовых камней бетонных при других видах покрытий</v>
      </c>
      <c r="D52" s="31" t="str">
        <f>Source!H32</f>
        <v>100 м</v>
      </c>
      <c r="E52" s="14">
        <f>ROUND(Source!I32,6)</f>
        <v>0.6</v>
      </c>
      <c r="F52" s="16">
        <f>IF(Source!AK32&lt;&gt;0,Source!AK32,Source!AL32+Source!AM32+Source!AO32)</f>
        <v>4682.610000000001</v>
      </c>
      <c r="G52" s="14"/>
      <c r="H52" s="14"/>
      <c r="I52" s="32" t="str">
        <f>IF(Source!BO32&lt;&gt;"",Source!BO32,"")</f>
        <v>27-02-010-2</v>
      </c>
      <c r="J52" s="14"/>
      <c r="K52" s="14"/>
      <c r="L52" s="14"/>
    </row>
    <row r="53" spans="1:12" ht="15">
      <c r="A53" s="14"/>
      <c r="B53" s="14"/>
      <c r="C53" s="14" t="s">
        <v>391</v>
      </c>
      <c r="D53" s="14"/>
      <c r="E53" s="14"/>
      <c r="F53" s="16">
        <f>Source!AO32</f>
        <v>643.64</v>
      </c>
      <c r="G53" s="32">
        <f>Source!DG32</f>
      </c>
      <c r="H53" s="16">
        <f>ROUND((Source!CT32/IF(Source!BA32&lt;&gt;0,Source!BA32,1)*Source!I32),2)</f>
        <v>386.18</v>
      </c>
      <c r="I53" s="14"/>
      <c r="J53" s="14">
        <f>Source!BA32</f>
        <v>17.84</v>
      </c>
      <c r="K53" s="16">
        <f>Source!S32</f>
        <v>6889.52</v>
      </c>
      <c r="L53" s="14"/>
    </row>
    <row r="54" spans="1:12" ht="15">
      <c r="A54" s="14"/>
      <c r="B54" s="14"/>
      <c r="C54" s="14" t="s">
        <v>58</v>
      </c>
      <c r="D54" s="14"/>
      <c r="E54" s="14"/>
      <c r="F54" s="16">
        <f>Source!AM32</f>
        <v>79.65</v>
      </c>
      <c r="G54" s="32">
        <f>Source!DE32</f>
      </c>
      <c r="H54" s="16">
        <f>ROUND((Source!CR32/IF(Source!BB32&lt;&gt;0,Source!BB32,1)*Source!I32),2)</f>
        <v>47.79</v>
      </c>
      <c r="I54" s="14"/>
      <c r="J54" s="14">
        <f>Source!BB32</f>
        <v>7.17</v>
      </c>
      <c r="K54" s="16">
        <f>Source!Q32</f>
        <v>342.65</v>
      </c>
      <c r="L54" s="14"/>
    </row>
    <row r="55" spans="1:12" ht="15">
      <c r="A55" s="14"/>
      <c r="B55" s="14"/>
      <c r="C55" s="14" t="s">
        <v>396</v>
      </c>
      <c r="D55" s="14"/>
      <c r="E55" s="14"/>
      <c r="F55" s="16">
        <f>Source!AN32</f>
        <v>9.18</v>
      </c>
      <c r="G55" s="32">
        <f>Source!DF32</f>
      </c>
      <c r="H55" s="40">
        <f>ROUND((Source!CS32/IF(Source!BS32&lt;&gt;0,Source!BS32,1)*Source!I32),2)</f>
        <v>5.51</v>
      </c>
      <c r="I55" s="14"/>
      <c r="J55" s="14">
        <f>Source!BS32</f>
        <v>17.84</v>
      </c>
      <c r="K55" s="40">
        <f>Source!R32</f>
        <v>98.26</v>
      </c>
      <c r="L55" s="14"/>
    </row>
    <row r="56" spans="1:12" ht="15">
      <c r="A56" s="14"/>
      <c r="B56" s="14"/>
      <c r="C56" s="14" t="s">
        <v>397</v>
      </c>
      <c r="D56" s="14"/>
      <c r="E56" s="14"/>
      <c r="F56" s="16">
        <f>Source!AL32</f>
        <v>3959.32</v>
      </c>
      <c r="G56" s="32">
        <f>Source!DD32</f>
      </c>
      <c r="H56" s="16">
        <f>ROUND((Source!CQ32/IF(Source!BC32&lt;&gt;0,Source!BC32,1)*Source!I32),2)</f>
        <v>2375.59</v>
      </c>
      <c r="I56" s="14"/>
      <c r="J56" s="14">
        <f>Source!BC32</f>
        <v>5.33</v>
      </c>
      <c r="K56" s="16">
        <f>Source!P32</f>
        <v>12661.91</v>
      </c>
      <c r="L56" s="14"/>
    </row>
    <row r="57" spans="1:24" ht="15">
      <c r="A57" s="14"/>
      <c r="B57" s="14"/>
      <c r="C57" s="14" t="s">
        <v>392</v>
      </c>
      <c r="D57" s="17" t="s">
        <v>393</v>
      </c>
      <c r="E57" s="14"/>
      <c r="F57" s="16">
        <f>Source!BZ32</f>
        <v>142</v>
      </c>
      <c r="G57" s="14"/>
      <c r="H57" s="16">
        <f>X57+X60+X61</f>
        <v>556.2</v>
      </c>
      <c r="I57" s="14" t="str">
        <f>Source!FV32</f>
        <v>((*0.85))</v>
      </c>
      <c r="J57" s="16">
        <f>Source!AT32</f>
        <v>121</v>
      </c>
      <c r="K57" s="16">
        <f>Source!X32+Source!X33+Source!X34</f>
        <v>8455.21</v>
      </c>
      <c r="L57" s="14"/>
      <c r="X57">
        <f>ROUND((Source!FX32/100)*(ROUND((Source!CT32/IF(Source!BA32&lt;&gt;0,Source!BA32,1)*Source!I32),2)+ROUND((Source!CS32/IF(Source!BS32&lt;&gt;0,Source!BS32,1)*Source!I32),2)),2)</f>
        <v>556.2</v>
      </c>
    </row>
    <row r="58" spans="1:25" ht="15">
      <c r="A58" s="14"/>
      <c r="B58" s="14"/>
      <c r="C58" s="14" t="s">
        <v>74</v>
      </c>
      <c r="D58" s="17" t="s">
        <v>393</v>
      </c>
      <c r="E58" s="14"/>
      <c r="F58" s="16">
        <f>Source!CA32</f>
        <v>95</v>
      </c>
      <c r="G58" s="14" t="str">
        <f>Source!FU32</f>
        <v>*0.85</v>
      </c>
      <c r="H58" s="16">
        <f>Y58+Y60+Y61</f>
        <v>316.29</v>
      </c>
      <c r="I58" s="14" t="str">
        <f>Source!FW32</f>
        <v>((*0.8))</v>
      </c>
      <c r="J58" s="16">
        <f>Source!AU32</f>
        <v>65</v>
      </c>
      <c r="K58" s="16">
        <f>Source!Y32+Source!Y33+Source!Y34</f>
        <v>4542.06</v>
      </c>
      <c r="L58" s="14"/>
      <c r="Y58">
        <f>ROUND((Source!FY32/100)*(ROUND((Source!CT32/IF(Source!BA32&lt;&gt;0,Source!BA32,1)*Source!I32),2)+ROUND((Source!CS32/IF(Source!BS32&lt;&gt;0,Source!BS32,1)*Source!I32),2)),2)</f>
        <v>316.29</v>
      </c>
    </row>
    <row r="59" spans="1:12" ht="15">
      <c r="A59" s="14"/>
      <c r="B59" s="14"/>
      <c r="C59" s="14" t="s">
        <v>394</v>
      </c>
      <c r="D59" s="17" t="s">
        <v>395</v>
      </c>
      <c r="E59" s="14">
        <f>Source!AQ32</f>
        <v>76.08</v>
      </c>
      <c r="F59" s="14"/>
      <c r="G59" s="32">
        <f>Source!DI32</f>
      </c>
      <c r="H59" s="14"/>
      <c r="I59" s="14"/>
      <c r="J59" s="14"/>
      <c r="K59" s="14"/>
      <c r="L59" s="16">
        <f>Source!U32</f>
        <v>45.647999999999996</v>
      </c>
    </row>
    <row r="60" spans="1:25" ht="45">
      <c r="A60" s="29"/>
      <c r="B60" s="29" t="str">
        <f>Source!F33</f>
        <v>403-8023</v>
      </c>
      <c r="C60" s="30" t="str">
        <f>Source!G33</f>
        <v>Камни бортовые БР 100.20.8 / бетон В22,5 (М300), объем 0,016 м3/ (ГОСТ 6665-91)</v>
      </c>
      <c r="D60" s="31" t="str">
        <f>Source!H33</f>
        <v>шт.</v>
      </c>
      <c r="E60" s="14">
        <f>ROUND(Source!I33,6)</f>
        <v>120</v>
      </c>
      <c r="F60" s="16">
        <f>IF(Source!AL33=0,Source!AK33,Source!AL33)</f>
        <v>22.42</v>
      </c>
      <c r="G60" s="32">
        <f>Source!DD33</f>
      </c>
      <c r="H60" s="41">
        <f>ROUND((Source!CR33/IF(Source!BB33&lt;&gt;0,Source!BB33,1)*Source!I33),2)+ROUND((Source!CQ33/IF(Source!BC33&lt;&gt;0,Source!BC33,1)*Source!I33),2)+ROUND((Source!CT33/IF(Source!BA33&lt;&gt;0,Source!BA33,1)*Source!I33),2)</f>
        <v>2690.4</v>
      </c>
      <c r="I60" s="32" t="str">
        <f>IF(Source!BO33&lt;&gt;"",Source!BO33,"")</f>
        <v>403-8023</v>
      </c>
      <c r="J60" s="14">
        <f>Source!BC33</f>
        <v>5.74</v>
      </c>
      <c r="K60" s="16">
        <f>Source!O33</f>
        <v>15442.9</v>
      </c>
      <c r="L60" s="14"/>
      <c r="N60">
        <f>ROUND((Source!CT33/IF(Source!BA33&lt;&gt;0,Source!BA33,1)*Source!I33),2)</f>
        <v>0</v>
      </c>
      <c r="O60">
        <f>IF(Source!BI33=1,(ROUND((Source!CR33/IF(Source!BB33&lt;&gt;0,Source!BB33,1)*Source!I33),2)+ROUND((Source!CQ33/IF(Source!BC33&lt;&gt;0,Source!BC33,1)*Source!I33),2)+ROUND((Source!CT33/IF(Source!BA33&lt;&gt;0,Source!BA33,1)*Source!I33),2)),0)</f>
        <v>2690.4</v>
      </c>
      <c r="P60">
        <f>IF(Source!BI33=2,(ROUND((Source!CR33/IF(Source!BB33&lt;&gt;0,Source!BB33,1)*Source!I33),2)+ROUND((Source!CQ33/IF(Source!BC33&lt;&gt;0,Source!BC33,1)*Source!I33),2)+ROUND((Source!CT33/IF(Source!BA33&lt;&gt;0,Source!BA33,1)*Source!I33),2)),0)</f>
        <v>0</v>
      </c>
      <c r="Q60">
        <f>IF(Source!BI33=3,(ROUND((Source!CR33/IF(Source!BB33&lt;&gt;0,Source!BB33,1)*Source!I33),2)+ROUND((Source!CQ33/IF(Source!BC33&lt;&gt;0,Source!BC33,1)*Source!I33),2)+ROUND((Source!CT33/IF(Source!BA33&lt;&gt;0,Source!BA33,1)*Source!I33),2)),0)</f>
        <v>0</v>
      </c>
      <c r="R60">
        <f>IF(Source!BI33=4,(ROUND((Source!CR33/IF(Source!BB33&lt;&gt;0,Source!BB33,1)*Source!I33),2)+ROUND((Source!CQ33/IF(Source!BC33&lt;&gt;0,Source!BC33,1)*Source!I33),2)+ROUND((Source!CT33/IF(Source!BA33&lt;&gt;0,Source!BA33,1)*Source!I33),2)),0)</f>
        <v>0</v>
      </c>
      <c r="S60">
        <f>IF(Source!BI33=1,Source!O33+Source!X33+Source!Y33,0)</f>
        <v>15442.9</v>
      </c>
      <c r="T60">
        <f>IF(Source!BI33=2,Source!O33+Source!X33+Source!Y33,0)</f>
        <v>0</v>
      </c>
      <c r="U60">
        <f>IF(Source!BI33=3,Source!O33+Source!X33+Source!Y33,0)</f>
        <v>0</v>
      </c>
      <c r="V60">
        <f>IF(Source!BI33=4,Source!O33+Source!X33+Source!Y33,0)</f>
        <v>0</v>
      </c>
      <c r="W60">
        <f>ROUND((Source!CS33/IF(Source!BS33&lt;&gt;0,Source!BS33,1)*Source!I33),2)</f>
        <v>0</v>
      </c>
      <c r="X60">
        <f>ROUND((Source!FX33/100)*(ROUND((Source!CT33/IF(Source!BA33&lt;&gt;0,Source!BA33,1)*Source!I33),2)+ROUND((Source!CS33/IF(Source!BS33&lt;&gt;0,Source!BS33,1)*Source!I33),2)),2)</f>
        <v>0</v>
      </c>
      <c r="Y60">
        <f>ROUND((Source!FY33/100)*(ROUND((Source!CT33/IF(Source!BA33&lt;&gt;0,Source!BA33,1)*Source!I33),2)+ROUND((Source!CS33/IF(Source!BS33&lt;&gt;0,Source!BS33,1)*Source!I33),2)),2)</f>
        <v>0</v>
      </c>
    </row>
    <row r="61" spans="1:25" ht="30">
      <c r="A61" s="42"/>
      <c r="B61" s="42" t="str">
        <f>Source!F34</f>
        <v>413-9010</v>
      </c>
      <c r="C61" s="43" t="str">
        <f>Source!G34</f>
        <v>Камни бортовые</v>
      </c>
      <c r="D61" s="44" t="str">
        <f>Source!H34</f>
        <v>м</v>
      </c>
      <c r="E61" s="34">
        <f>ROUND(Source!I34,6)</f>
        <v>60</v>
      </c>
      <c r="F61" s="37">
        <f>IF(Source!GB34=0,Source!GA34,Source!GB34)</f>
        <v>0</v>
      </c>
      <c r="G61" s="36">
        <f>Source!DD34</f>
      </c>
      <c r="H61" s="45">
        <f>ROUND((Source!GF34*Source!I34),2)</f>
        <v>0</v>
      </c>
      <c r="I61" s="36" t="str">
        <f>IF(Source!BO34&lt;&gt;"",Source!BO34,"")</f>
        <v>413-9010</v>
      </c>
      <c r="J61" s="34">
        <f>Source!BC34</f>
        <v>1</v>
      </c>
      <c r="K61" s="37">
        <f>Source!O34</f>
        <v>0</v>
      </c>
      <c r="L61" s="34"/>
      <c r="N61">
        <f>ROUND(Source!GJ34*Source!I34,2)</f>
        <v>0</v>
      </c>
      <c r="O61">
        <f>IF(Source!BI34=1,(ROUND((Source!GF34*Source!I34),2)),0)</f>
        <v>0</v>
      </c>
      <c r="P61">
        <f>IF(Source!BI34=2,(ROUND((Source!GF34*Source!I34),2)),0)</f>
        <v>0</v>
      </c>
      <c r="Q61">
        <f>IF(Source!BI34=3,(ROUND((Source!GF34*Source!I34),2)),0)</f>
        <v>0</v>
      </c>
      <c r="R61">
        <f>IF(Source!BI34=4,(ROUND((Source!GF34*Source!I34),2)),0)</f>
        <v>0</v>
      </c>
      <c r="S61">
        <f>IF(Source!BI34=1,Source!O34+Source!X34+Source!Y34,0)</f>
        <v>0</v>
      </c>
      <c r="T61">
        <f>IF(Source!BI34=2,Source!O34+Source!X34+Source!Y34,0)</f>
        <v>0</v>
      </c>
      <c r="U61">
        <f>IF(Source!BI34=3,Source!O34+Source!X34+Source!Y34,0)</f>
        <v>0</v>
      </c>
      <c r="V61">
        <f>IF(Source!BI34=4,Source!O34+Source!X34+Source!Y34,0)</f>
        <v>0</v>
      </c>
      <c r="W61">
        <f>ROUND(Source!GI34*Source!I34,2)</f>
        <v>0</v>
      </c>
      <c r="X61">
        <f>ROUND((Source!FX34/100)*(ROUND(Source!GJ34*Source!I34,2)+ROUND(Source!GI34*Source!I34,2)),2)</f>
        <v>0</v>
      </c>
      <c r="Y61">
        <f>ROUND((Source!FY34/100)*(ROUND(Source!GJ34*Source!I34,2)+ROUND(Source!GI34*Source!I34,2)),2)</f>
        <v>0</v>
      </c>
    </row>
    <row r="62" spans="1:23" ht="15.75">
      <c r="A62" s="14"/>
      <c r="B62" s="14"/>
      <c r="C62" s="14"/>
      <c r="D62" s="14"/>
      <c r="E62" s="14"/>
      <c r="F62" s="14"/>
      <c r="G62" s="14"/>
      <c r="H62" s="38">
        <f>ROUND((Source!CT32/IF(Source!BA32&lt;&gt;0,Source!BA32,1)*Source!I32),2)+ROUND((Source!CR32/IF(Source!BB32&lt;&gt;0,Source!BB32,1)*Source!I32),2)+H56+H57+H58+H60+H61</f>
        <v>6372.450000000001</v>
      </c>
      <c r="I62" s="39"/>
      <c r="J62" s="39"/>
      <c r="K62" s="38">
        <f>Source!S32+Source!Q32+K56+K57+K58+K60+K61</f>
        <v>48334.25</v>
      </c>
      <c r="L62" s="38">
        <f>Source!U32</f>
        <v>45.647999999999996</v>
      </c>
      <c r="M62" s="33">
        <f>H62</f>
        <v>6372.450000000001</v>
      </c>
      <c r="N62">
        <f>ROUND((Source!CT32/IF(Source!BA32&lt;&gt;0,Source!BA32,1)*Source!I32),2)</f>
        <v>386.18</v>
      </c>
      <c r="O62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3682.0599300000003</v>
      </c>
      <c r="P62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62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62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62">
        <f>IF(Source!BI32=1,Source!O32+Source!X32+Source!Y32,0)</f>
        <v>32891.35</v>
      </c>
      <c r="T62">
        <f>IF(Source!BI32=2,Source!O32+Source!X32+Source!Y32,0)</f>
        <v>0</v>
      </c>
      <c r="U62">
        <f>IF(Source!BI32=3,Source!O32+Source!X32+Source!Y32,0)</f>
        <v>0</v>
      </c>
      <c r="V62">
        <f>IF(Source!BI32=4,Source!O32+Source!X32+Source!Y32,0)</f>
        <v>0</v>
      </c>
      <c r="W62">
        <f>ROUND((Source!CS32/IF(Source!BS32&lt;&gt;0,Source!BS32,1)*Source!I32),2)</f>
        <v>5.51</v>
      </c>
    </row>
    <row r="64" spans="3:23" s="39" customFormat="1" ht="15.75">
      <c r="C64" s="39" t="s">
        <v>176</v>
      </c>
      <c r="G64" s="107">
        <f>SUM(M35:M63)</f>
        <v>18717.95</v>
      </c>
      <c r="H64" s="107"/>
      <c r="J64" s="107">
        <f>ROUND(Source!AB26+Source!AK26+Source!AL26+Source!AE26*0/100,2)</f>
        <v>150990.55</v>
      </c>
      <c r="K64" s="107"/>
      <c r="L64" s="38">
        <f>Source!AH26</f>
        <v>206.23</v>
      </c>
      <c r="N64" s="38">
        <f aca="true" t="shared" si="0" ref="N64:W64">SUM(N35:N63)</f>
        <v>1700.19</v>
      </c>
      <c r="O64" s="38">
        <f t="shared" si="0"/>
        <v>18717.956178</v>
      </c>
      <c r="P64" s="38">
        <f t="shared" si="0"/>
        <v>0</v>
      </c>
      <c r="Q64" s="38">
        <f t="shared" si="0"/>
        <v>0</v>
      </c>
      <c r="R64" s="38">
        <f t="shared" si="0"/>
        <v>0</v>
      </c>
      <c r="S64" s="38">
        <f t="shared" si="0"/>
        <v>150990.55000000002</v>
      </c>
      <c r="T64" s="38">
        <f t="shared" si="0"/>
        <v>0</v>
      </c>
      <c r="U64" s="38">
        <f t="shared" si="0"/>
        <v>0</v>
      </c>
      <c r="V64" s="38">
        <f t="shared" si="0"/>
        <v>0</v>
      </c>
      <c r="W64" s="39">
        <f t="shared" si="0"/>
        <v>12.67</v>
      </c>
    </row>
    <row r="66" spans="3:30" ht="18">
      <c r="C66" s="26" t="s">
        <v>390</v>
      </c>
      <c r="D66" s="106" t="str">
        <f>IF(Source!C12="1",Source!F52,Source!G52)</f>
        <v>Расширение дороги</v>
      </c>
      <c r="E66" s="108"/>
      <c r="F66" s="108"/>
      <c r="G66" s="108"/>
      <c r="H66" s="108"/>
      <c r="I66" s="108"/>
      <c r="J66" s="108"/>
      <c r="K66" s="108"/>
      <c r="L66" s="108"/>
      <c r="AD66" s="28" t="str">
        <f>IF(Source!C12="1",Source!F52,Source!G52)</f>
        <v>Расширение дороги</v>
      </c>
    </row>
    <row r="68" spans="1:12" ht="75">
      <c r="A68" s="29" t="str">
        <f>Source!E56</f>
        <v>4</v>
      </c>
      <c r="B68" s="29" t="str">
        <f>Source!F56</f>
        <v>01-01-013-14</v>
      </c>
      <c r="C68" s="30" t="str">
        <f>Source!G56</f>
        <v>Разработка грунта с погрузкой на автомобили-самосвалы экскаваторами с ковшом вместимостью 0,5 (0,5-0,63) м3, группа грунтов 2</v>
      </c>
      <c r="D68" s="31" t="str">
        <f>Source!H56</f>
        <v>1000 м3</v>
      </c>
      <c r="E68" s="14">
        <f>ROUND(Source!I56,6)</f>
        <v>0.0205</v>
      </c>
      <c r="F68" s="16">
        <f>IF(Source!AK56&lt;&gt;0,Source!AK56,Source!AL56+Source!AM56+Source!AO56)</f>
        <v>4277.16</v>
      </c>
      <c r="G68" s="14"/>
      <c r="H68" s="14"/>
      <c r="I68" s="32" t="str">
        <f>IF(Source!BO56&lt;&gt;"",Source!BO56,"")</f>
        <v>01-01-013-14</v>
      </c>
      <c r="J68" s="14"/>
      <c r="K68" s="14"/>
      <c r="L68" s="14"/>
    </row>
    <row r="69" spans="1:12" ht="15">
      <c r="A69" s="14"/>
      <c r="B69" s="14"/>
      <c r="C69" s="14" t="s">
        <v>391</v>
      </c>
      <c r="D69" s="14"/>
      <c r="E69" s="14"/>
      <c r="F69" s="16">
        <f>Source!AO56</f>
        <v>117.62</v>
      </c>
      <c r="G69" s="32">
        <f>Source!DG56</f>
      </c>
      <c r="H69" s="16">
        <f>ROUND((Source!CT56/IF(Source!BA56&lt;&gt;0,Source!BA56,1)*Source!I56),2)</f>
        <v>2.41</v>
      </c>
      <c r="I69" s="14"/>
      <c r="J69" s="14">
        <f>Source!BA56</f>
        <v>17.63</v>
      </c>
      <c r="K69" s="16">
        <f>Source!S56</f>
        <v>42.51</v>
      </c>
      <c r="L69" s="14"/>
    </row>
    <row r="70" spans="1:12" ht="15">
      <c r="A70" s="14"/>
      <c r="B70" s="14"/>
      <c r="C70" s="14" t="s">
        <v>58</v>
      </c>
      <c r="D70" s="14"/>
      <c r="E70" s="14"/>
      <c r="F70" s="16">
        <f>Source!AM56</f>
        <v>4155.2</v>
      </c>
      <c r="G70" s="32">
        <f>Source!DE56</f>
      </c>
      <c r="H70" s="16">
        <f>ROUND((Source!CR56/IF(Source!BB56&lt;&gt;0,Source!BB56,1)*Source!I56),2)</f>
        <v>85.18</v>
      </c>
      <c r="I70" s="14"/>
      <c r="J70" s="14">
        <f>Source!BB56</f>
        <v>8.67</v>
      </c>
      <c r="K70" s="16">
        <f>Source!Q56</f>
        <v>738.52</v>
      </c>
      <c r="L70" s="14"/>
    </row>
    <row r="71" spans="1:12" ht="15">
      <c r="A71" s="14"/>
      <c r="B71" s="14"/>
      <c r="C71" s="14" t="s">
        <v>396</v>
      </c>
      <c r="D71" s="14"/>
      <c r="E71" s="14"/>
      <c r="F71" s="16">
        <f>Source!AN56</f>
        <v>598.18</v>
      </c>
      <c r="G71" s="32">
        <f>Source!DF56</f>
      </c>
      <c r="H71" s="40">
        <f>ROUND((Source!CS56/IF(Source!BS56&lt;&gt;0,Source!BS56,1)*Source!I56),2)</f>
        <v>12.26</v>
      </c>
      <c r="I71" s="14"/>
      <c r="J71" s="14">
        <f>Source!BS56</f>
        <v>17.63</v>
      </c>
      <c r="K71" s="40">
        <f>Source!R56</f>
        <v>216.19</v>
      </c>
      <c r="L71" s="14"/>
    </row>
    <row r="72" spans="1:12" ht="15">
      <c r="A72" s="14"/>
      <c r="B72" s="14"/>
      <c r="C72" s="14" t="s">
        <v>397</v>
      </c>
      <c r="D72" s="14"/>
      <c r="E72" s="14"/>
      <c r="F72" s="16">
        <f>Source!AL56</f>
        <v>4.34</v>
      </c>
      <c r="G72" s="32">
        <f>Source!DD56</f>
      </c>
      <c r="H72" s="16">
        <f>ROUND((Source!CQ56/IF(Source!BC56&lt;&gt;0,Source!BC56,1)*Source!I56),2)</f>
        <v>0.09</v>
      </c>
      <c r="I72" s="14"/>
      <c r="J72" s="14">
        <f>Source!BC56</f>
        <v>11.94</v>
      </c>
      <c r="K72" s="16">
        <f>Source!P56</f>
        <v>1.06</v>
      </c>
      <c r="L72" s="14"/>
    </row>
    <row r="73" spans="1:24" ht="15">
      <c r="A73" s="14"/>
      <c r="B73" s="14"/>
      <c r="C73" s="14" t="s">
        <v>392</v>
      </c>
      <c r="D73" s="17" t="s">
        <v>393</v>
      </c>
      <c r="E73" s="14"/>
      <c r="F73" s="16">
        <f>Source!BZ56</f>
        <v>95</v>
      </c>
      <c r="G73" s="14"/>
      <c r="H73" s="16">
        <f>X73</f>
        <v>13.94</v>
      </c>
      <c r="I73" s="14" t="str">
        <f>Source!FV56</f>
        <v>((*0.85))</v>
      </c>
      <c r="J73" s="16">
        <f>Source!AT56</f>
        <v>81</v>
      </c>
      <c r="K73" s="16">
        <f>Source!X56</f>
        <v>209.55</v>
      </c>
      <c r="L73" s="14"/>
      <c r="X73">
        <f>ROUND((Source!FX56/100)*(ROUND((Source!CT56/IF(Source!BA56&lt;&gt;0,Source!BA56,1)*Source!I56),2)+ROUND((Source!CS56/IF(Source!BS56&lt;&gt;0,Source!BS56,1)*Source!I56),2)),2)</f>
        <v>13.94</v>
      </c>
    </row>
    <row r="74" spans="1:25" ht="15">
      <c r="A74" s="14"/>
      <c r="B74" s="14"/>
      <c r="C74" s="14" t="s">
        <v>74</v>
      </c>
      <c r="D74" s="17" t="s">
        <v>393</v>
      </c>
      <c r="E74" s="14"/>
      <c r="F74" s="16">
        <f>Source!CA56</f>
        <v>50</v>
      </c>
      <c r="G74" s="14" t="str">
        <f>Source!FU56</f>
        <v>*0.85</v>
      </c>
      <c r="H74" s="16">
        <f>Y74</f>
        <v>6.23</v>
      </c>
      <c r="I74" s="14" t="str">
        <f>Source!FW56</f>
        <v>((*0.8))</v>
      </c>
      <c r="J74" s="16">
        <f>Source!AU56</f>
        <v>34</v>
      </c>
      <c r="K74" s="16">
        <f>Source!Y56</f>
        <v>87.96</v>
      </c>
      <c r="L74" s="14"/>
      <c r="Y74">
        <f>ROUND((Source!FY56/100)*(ROUND((Source!CT56/IF(Source!BA56&lt;&gt;0,Source!BA56,1)*Source!I56),2)+ROUND((Source!CS56/IF(Source!BS56&lt;&gt;0,Source!BS56,1)*Source!I56),2)),2)</f>
        <v>6.23</v>
      </c>
    </row>
    <row r="75" spans="1:12" ht="15">
      <c r="A75" s="34"/>
      <c r="B75" s="34"/>
      <c r="C75" s="34" t="s">
        <v>394</v>
      </c>
      <c r="D75" s="35" t="s">
        <v>395</v>
      </c>
      <c r="E75" s="34">
        <f>Source!AQ56</f>
        <v>15.08</v>
      </c>
      <c r="F75" s="34"/>
      <c r="G75" s="36">
        <f>Source!DI56</f>
      </c>
      <c r="H75" s="34"/>
      <c r="I75" s="34"/>
      <c r="J75" s="34"/>
      <c r="K75" s="34"/>
      <c r="L75" s="37">
        <f>Source!U56</f>
        <v>0.30914</v>
      </c>
    </row>
    <row r="76" spans="1:23" ht="15.75">
      <c r="A76" s="14"/>
      <c r="B76" s="14"/>
      <c r="C76" s="14"/>
      <c r="D76" s="14"/>
      <c r="E76" s="14"/>
      <c r="F76" s="14"/>
      <c r="G76" s="14"/>
      <c r="H76" s="38">
        <f>ROUND((Source!CT56/IF(Source!BA56&lt;&gt;0,Source!BA56,1)*Source!I56),2)+ROUND((Source!CR56/IF(Source!BB56&lt;&gt;0,Source!BB56,1)*Source!I56),2)+H72+H73+H74</f>
        <v>107.85000000000001</v>
      </c>
      <c r="I76" s="39"/>
      <c r="J76" s="39"/>
      <c r="K76" s="38">
        <f>Source!S56+Source!Q56+K72+K73+K74</f>
        <v>1079.6</v>
      </c>
      <c r="L76" s="38">
        <f>Source!U56</f>
        <v>0.30914</v>
      </c>
      <c r="M76" s="33">
        <f>H76</f>
        <v>107.85000000000001</v>
      </c>
      <c r="N76">
        <f>ROUND((Source!CT56/IF(Source!BA56&lt;&gt;0,Source!BA56,1)*Source!I56),2)</f>
        <v>2.41</v>
      </c>
      <c r="O76">
        <f>IF(Source!BI56=1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107.8583925</v>
      </c>
      <c r="P76">
        <f>IF(Source!BI56=2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Q76">
        <f>IF(Source!BI56=3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R76">
        <f>IF(Source!BI56=4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S76">
        <f>IF(Source!BI56=1,Source!O56+Source!X56+Source!Y56,0)</f>
        <v>1079.6000000000001</v>
      </c>
      <c r="T76">
        <f>IF(Source!BI56=2,Source!O56+Source!X56+Source!Y56,0)</f>
        <v>0</v>
      </c>
      <c r="U76">
        <f>IF(Source!BI56=3,Source!O56+Source!X56+Source!Y56,0)</f>
        <v>0</v>
      </c>
      <c r="V76">
        <f>IF(Source!BI56=4,Source!O56+Source!X56+Source!Y56,0)</f>
        <v>0</v>
      </c>
      <c r="W76">
        <f>ROUND((Source!CS56/IF(Source!BS56&lt;&gt;0,Source!BS56,1)*Source!I56),2)</f>
        <v>12.26</v>
      </c>
    </row>
    <row r="77" spans="1:12" ht="30">
      <c r="A77" s="29" t="str">
        <f>Source!E57</f>
        <v>5</v>
      </c>
      <c r="B77" s="29" t="str">
        <f>Source!F57</f>
        <v>Техчасть индексов</v>
      </c>
      <c r="C77" s="30" t="str">
        <f>Source!G57</f>
        <v>Вывоз грунта на 10 км</v>
      </c>
      <c r="D77" s="31" t="str">
        <f>Source!H57</f>
        <v>т</v>
      </c>
      <c r="E77" s="14">
        <f>ROUND(Source!I57,6)</f>
        <v>36</v>
      </c>
      <c r="F77" s="16">
        <f>IF(Source!AK57&lt;&gt;0,Source!AK57,Source!AL57+Source!AM57+Source!AO57)</f>
        <v>14.63</v>
      </c>
      <c r="G77" s="14"/>
      <c r="H77" s="14"/>
      <c r="I77" s="32">
        <f>IF(Source!BO57&lt;&gt;"",Source!BO57,"")</f>
      </c>
      <c r="J77" s="14"/>
      <c r="K77" s="14"/>
      <c r="L77" s="14"/>
    </row>
    <row r="78" spans="1:12" ht="15">
      <c r="A78" s="34"/>
      <c r="B78" s="34"/>
      <c r="C78" s="34" t="s">
        <v>58</v>
      </c>
      <c r="D78" s="34"/>
      <c r="E78" s="34"/>
      <c r="F78" s="37">
        <f>Source!AM57</f>
        <v>14.63</v>
      </c>
      <c r="G78" s="36">
        <f>Source!DE57</f>
      </c>
      <c r="H78" s="37">
        <f>ROUND((Source!CR57/IF(Source!BB57&lt;&gt;0,Source!BB57,1)*Source!I57),2)</f>
        <v>526.68</v>
      </c>
      <c r="I78" s="34"/>
      <c r="J78" s="34">
        <f>Source!BB57</f>
        <v>5.32</v>
      </c>
      <c r="K78" s="37">
        <f>Source!Q57</f>
        <v>2801.94</v>
      </c>
      <c r="L78" s="34"/>
    </row>
    <row r="79" spans="1:23" ht="15.75">
      <c r="A79" s="14"/>
      <c r="B79" s="14"/>
      <c r="C79" s="14"/>
      <c r="D79" s="14"/>
      <c r="E79" s="14"/>
      <c r="F79" s="14"/>
      <c r="G79" s="14"/>
      <c r="H79" s="38">
        <f>ROUND((Source!CT57/IF(Source!BA57&lt;&gt;0,Source!BA57,1)*Source!I57),2)+ROUND((Source!CR57/IF(Source!BB57&lt;&gt;0,Source!BB57,1)*Source!I57),2)</f>
        <v>526.68</v>
      </c>
      <c r="I79" s="39"/>
      <c r="J79" s="39"/>
      <c r="K79" s="38">
        <f>Source!S57+Source!Q57</f>
        <v>2801.94</v>
      </c>
      <c r="L79" s="38">
        <f>Source!U57</f>
        <v>0</v>
      </c>
      <c r="M79" s="33">
        <f>H79</f>
        <v>526.68</v>
      </c>
      <c r="N79">
        <f>ROUND((Source!CT57/IF(Source!BA57&lt;&gt;0,Source!BA57,1)*Source!I57),2)</f>
        <v>0</v>
      </c>
      <c r="O79">
        <f>IF(Source!BI57=1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P79">
        <f>IF(Source!BI57=2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Q79">
        <f>IF(Source!BI57=3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R79">
        <f>IF(Source!BI57=4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526.6800000000001</v>
      </c>
      <c r="S79">
        <f>IF(Source!BI57=1,Source!O57+Source!X57+Source!Y57,0)</f>
        <v>0</v>
      </c>
      <c r="T79">
        <f>IF(Source!BI57=2,Source!O57+Source!X57+Source!Y57,0)</f>
        <v>0</v>
      </c>
      <c r="U79">
        <f>IF(Source!BI57=3,Source!O57+Source!X57+Source!Y57,0)</f>
        <v>0</v>
      </c>
      <c r="V79">
        <f>IF(Source!BI57=4,Source!O57+Source!X57+Source!Y57,0)</f>
        <v>2801.94</v>
      </c>
      <c r="W79">
        <f>ROUND((Source!CS57/IF(Source!BS57&lt;&gt;0,Source!BS57,1)*Source!I57),2)</f>
        <v>0</v>
      </c>
    </row>
    <row r="80" spans="1:12" ht="45">
      <c r="A80" s="29" t="str">
        <f>Source!E58</f>
        <v>6</v>
      </c>
      <c r="B80" s="29" t="str">
        <f>Source!F58</f>
        <v>27-04-001-1</v>
      </c>
      <c r="C80" s="30" t="str">
        <f>Source!G58</f>
        <v>Устройство подстилающих и выравнивающих слоев оснований из песка</v>
      </c>
      <c r="D80" s="31" t="str">
        <f>Source!H58</f>
        <v>100 м3</v>
      </c>
      <c r="E80" s="14">
        <f>ROUND(Source!I58,6)</f>
        <v>0.164</v>
      </c>
      <c r="F80" s="16">
        <f>IF(Source!AK58&lt;&gt;0,Source!AK58,Source!AL58+Source!AM58+Source!AO58)</f>
        <v>2324.46</v>
      </c>
      <c r="G80" s="14"/>
      <c r="H80" s="14"/>
      <c r="I80" s="32" t="str">
        <f>IF(Source!BO58&lt;&gt;"",Source!BO58,"")</f>
        <v>27-04-001-1</v>
      </c>
      <c r="J80" s="14"/>
      <c r="K80" s="14"/>
      <c r="L80" s="14"/>
    </row>
    <row r="81" spans="1:12" ht="15">
      <c r="A81" s="14"/>
      <c r="B81" s="14"/>
      <c r="C81" s="14" t="s">
        <v>391</v>
      </c>
      <c r="D81" s="14"/>
      <c r="E81" s="14"/>
      <c r="F81" s="16">
        <f>Source!AO58</f>
        <v>126.07</v>
      </c>
      <c r="G81" s="32">
        <f>Source!DG58</f>
      </c>
      <c r="H81" s="16">
        <f>ROUND((Source!CT58/IF(Source!BA58&lt;&gt;0,Source!BA58,1)*Source!I58),2)</f>
        <v>20.68</v>
      </c>
      <c r="I81" s="14"/>
      <c r="J81" s="14">
        <f>Source!BA58</f>
        <v>17.84</v>
      </c>
      <c r="K81" s="16">
        <f>Source!S58</f>
        <v>368.85</v>
      </c>
      <c r="L81" s="14"/>
    </row>
    <row r="82" spans="1:12" ht="15">
      <c r="A82" s="14"/>
      <c r="B82" s="14"/>
      <c r="C82" s="14" t="s">
        <v>58</v>
      </c>
      <c r="D82" s="14"/>
      <c r="E82" s="14"/>
      <c r="F82" s="16">
        <f>Source!AM58</f>
        <v>2186.19</v>
      </c>
      <c r="G82" s="32">
        <f>Source!DE58</f>
      </c>
      <c r="H82" s="16">
        <f>ROUND((Source!CR58/IF(Source!BB58&lt;&gt;0,Source!BB58,1)*Source!I58),2)</f>
        <v>358.54</v>
      </c>
      <c r="I82" s="14"/>
      <c r="J82" s="14">
        <f>Source!BB58</f>
        <v>5.79</v>
      </c>
      <c r="K82" s="16">
        <f>Source!Q58</f>
        <v>2075.92</v>
      </c>
      <c r="L82" s="14"/>
    </row>
    <row r="83" spans="1:12" ht="15">
      <c r="A83" s="14"/>
      <c r="B83" s="14"/>
      <c r="C83" s="14" t="s">
        <v>396</v>
      </c>
      <c r="D83" s="14"/>
      <c r="E83" s="14"/>
      <c r="F83" s="16">
        <f>Source!AN58</f>
        <v>177.53</v>
      </c>
      <c r="G83" s="32">
        <f>Source!DF58</f>
      </c>
      <c r="H83" s="40">
        <f>ROUND((Source!CS58/IF(Source!BS58&lt;&gt;0,Source!BS58,1)*Source!I58),2)</f>
        <v>29.11</v>
      </c>
      <c r="I83" s="14"/>
      <c r="J83" s="14">
        <f>Source!BS58</f>
        <v>17.84</v>
      </c>
      <c r="K83" s="40">
        <f>Source!R58</f>
        <v>519.41</v>
      </c>
      <c r="L83" s="14"/>
    </row>
    <row r="84" spans="1:12" ht="15">
      <c r="A84" s="14"/>
      <c r="B84" s="14"/>
      <c r="C84" s="14" t="s">
        <v>397</v>
      </c>
      <c r="D84" s="14"/>
      <c r="E84" s="14"/>
      <c r="F84" s="16">
        <f>Source!AL58</f>
        <v>12.2</v>
      </c>
      <c r="G84" s="32">
        <f>Source!DD58</f>
      </c>
      <c r="H84" s="16">
        <f>ROUND((Source!CQ58/IF(Source!BC58&lt;&gt;0,Source!BC58,1)*Source!I58),2)</f>
        <v>2</v>
      </c>
      <c r="I84" s="14"/>
      <c r="J84" s="14">
        <f>Source!BC58</f>
        <v>4.95</v>
      </c>
      <c r="K84" s="16">
        <f>Source!P58</f>
        <v>9.9</v>
      </c>
      <c r="L84" s="14"/>
    </row>
    <row r="85" spans="1:24" ht="15">
      <c r="A85" s="14"/>
      <c r="B85" s="14"/>
      <c r="C85" s="14" t="s">
        <v>392</v>
      </c>
      <c r="D85" s="17" t="s">
        <v>393</v>
      </c>
      <c r="E85" s="14"/>
      <c r="F85" s="16">
        <f>Source!BZ58</f>
        <v>142</v>
      </c>
      <c r="G85" s="14"/>
      <c r="H85" s="16">
        <f>X85+X88</f>
        <v>70.7</v>
      </c>
      <c r="I85" s="14" t="str">
        <f>Source!FV58</f>
        <v>((*0.85))</v>
      </c>
      <c r="J85" s="16">
        <f>Source!AT58</f>
        <v>121</v>
      </c>
      <c r="K85" s="16">
        <f>Source!X58+Source!X59</f>
        <v>1074.79</v>
      </c>
      <c r="L85" s="14"/>
      <c r="X85">
        <f>ROUND((Source!FX58/100)*(ROUND((Source!CT58/IF(Source!BA58&lt;&gt;0,Source!BA58,1)*Source!I58),2)+ROUND((Source!CS58/IF(Source!BS58&lt;&gt;0,Source!BS58,1)*Source!I58),2)),2)</f>
        <v>70.7</v>
      </c>
    </row>
    <row r="86" spans="1:25" ht="15">
      <c r="A86" s="14"/>
      <c r="B86" s="14"/>
      <c r="C86" s="14" t="s">
        <v>74</v>
      </c>
      <c r="D86" s="17" t="s">
        <v>393</v>
      </c>
      <c r="E86" s="14"/>
      <c r="F86" s="16">
        <f>Source!CA58</f>
        <v>95</v>
      </c>
      <c r="G86" s="14" t="str">
        <f>Source!FU58</f>
        <v>*0.85</v>
      </c>
      <c r="H86" s="16">
        <f>Y86+Y88</f>
        <v>40.21</v>
      </c>
      <c r="I86" s="14" t="str">
        <f>Source!FW58</f>
        <v>((*0.8))</v>
      </c>
      <c r="J86" s="16">
        <f>Source!AU58</f>
        <v>65</v>
      </c>
      <c r="K86" s="16">
        <f>Source!Y58+Source!Y59</f>
        <v>577.37</v>
      </c>
      <c r="L86" s="14"/>
      <c r="Y86">
        <f>ROUND((Source!FY58/100)*(ROUND((Source!CT58/IF(Source!BA58&lt;&gt;0,Source!BA58,1)*Source!I58),2)+ROUND((Source!CS58/IF(Source!BS58&lt;&gt;0,Source!BS58,1)*Source!I58),2)),2)</f>
        <v>40.21</v>
      </c>
    </row>
    <row r="87" spans="1:12" ht="15">
      <c r="A87" s="14"/>
      <c r="B87" s="14"/>
      <c r="C87" s="14" t="s">
        <v>394</v>
      </c>
      <c r="D87" s="17" t="s">
        <v>395</v>
      </c>
      <c r="E87" s="14">
        <f>Source!AQ58</f>
        <v>15.72</v>
      </c>
      <c r="F87" s="14"/>
      <c r="G87" s="32">
        <f>Source!DI58</f>
      </c>
      <c r="H87" s="14"/>
      <c r="I87" s="14"/>
      <c r="J87" s="14"/>
      <c r="K87" s="14"/>
      <c r="L87" s="16">
        <f>Source!U58</f>
        <v>2.5780800000000004</v>
      </c>
    </row>
    <row r="88" spans="1:25" ht="30">
      <c r="A88" s="42"/>
      <c r="B88" s="42" t="str">
        <f>Source!F59</f>
        <v>408-0122</v>
      </c>
      <c r="C88" s="43" t="str">
        <f>Source!G59</f>
        <v>Песок природный для строительных работ средний</v>
      </c>
      <c r="D88" s="44" t="str">
        <f>Source!H59</f>
        <v>м3</v>
      </c>
      <c r="E88" s="34">
        <f>ROUND(Source!I59,6)</f>
        <v>18.04</v>
      </c>
      <c r="F88" s="37">
        <f>IF(Source!AL59=0,Source!AK59,Source!AL59)</f>
        <v>55.26</v>
      </c>
      <c r="G88" s="36">
        <f>Source!DD59</f>
      </c>
      <c r="H88" s="45">
        <f>ROUND((Source!CR59/IF(Source!BB59&lt;&gt;0,Source!BB59,1)*Source!I59),2)+ROUND((Source!CQ59/IF(Source!BC59&lt;&gt;0,Source!BC59,1)*Source!I59),2)+ROUND((Source!CT59/IF(Source!BA59&lt;&gt;0,Source!BA59,1)*Source!I59),2)</f>
        <v>996.89</v>
      </c>
      <c r="I88" s="36" t="str">
        <f>IF(Source!BO59&lt;&gt;"",Source!BO59,"")</f>
        <v>408-0122</v>
      </c>
      <c r="J88" s="34">
        <f>Source!BC59</f>
        <v>9.25</v>
      </c>
      <c r="K88" s="37">
        <f>Source!O59</f>
        <v>9221.24</v>
      </c>
      <c r="L88" s="34"/>
      <c r="N88">
        <f>ROUND((Source!CT59/IF(Source!BA59&lt;&gt;0,Source!BA59,1)*Source!I59),2)</f>
        <v>0</v>
      </c>
      <c r="O88">
        <f>IF(Source!BI59=1,(ROUND((Source!CR59/IF(Source!BB59&lt;&gt;0,Source!BB59,1)*Source!I59),2)+ROUND((Source!CQ59/IF(Source!BC59&lt;&gt;0,Source!BC59,1)*Source!I59),2)+ROUND((Source!CT59/IF(Source!BA59&lt;&gt;0,Source!BA59,1)*Source!I59),2)),0)</f>
        <v>996.89</v>
      </c>
      <c r="P88">
        <f>IF(Source!BI59=2,(ROUND((Source!CR59/IF(Source!BB59&lt;&gt;0,Source!BB59,1)*Source!I59),2)+ROUND((Source!CQ59/IF(Source!BC59&lt;&gt;0,Source!BC59,1)*Source!I59),2)+ROUND((Source!CT59/IF(Source!BA59&lt;&gt;0,Source!BA59,1)*Source!I59),2)),0)</f>
        <v>0</v>
      </c>
      <c r="Q88">
        <f>IF(Source!BI59=3,(ROUND((Source!CR59/IF(Source!BB59&lt;&gt;0,Source!BB59,1)*Source!I59),2)+ROUND((Source!CQ59/IF(Source!BC59&lt;&gt;0,Source!BC59,1)*Source!I59),2)+ROUND((Source!CT59/IF(Source!BA59&lt;&gt;0,Source!BA59,1)*Source!I59),2)),0)</f>
        <v>0</v>
      </c>
      <c r="R88">
        <f>IF(Source!BI59=4,(ROUND((Source!CR59/IF(Source!BB59&lt;&gt;0,Source!BB59,1)*Source!I59),2)+ROUND((Source!CQ59/IF(Source!BC59&lt;&gt;0,Source!BC59,1)*Source!I59),2)+ROUND((Source!CT59/IF(Source!BA59&lt;&gt;0,Source!BA59,1)*Source!I59),2)),0)</f>
        <v>0</v>
      </c>
      <c r="S88">
        <f>IF(Source!BI59=1,Source!O59+Source!X59+Source!Y59,0)</f>
        <v>9221.24</v>
      </c>
      <c r="T88">
        <f>IF(Source!BI59=2,Source!O59+Source!X59+Source!Y59,0)</f>
        <v>0</v>
      </c>
      <c r="U88">
        <f>IF(Source!BI59=3,Source!O59+Source!X59+Source!Y59,0)</f>
        <v>0</v>
      </c>
      <c r="V88">
        <f>IF(Source!BI59=4,Source!O59+Source!X59+Source!Y59,0)</f>
        <v>0</v>
      </c>
      <c r="W88">
        <f>ROUND((Source!CS59/IF(Source!BS59&lt;&gt;0,Source!BS59,1)*Source!I59),2)</f>
        <v>0</v>
      </c>
      <c r="X88">
        <f>ROUND((Source!FX59/100)*(ROUND((Source!CT59/IF(Source!BA59&lt;&gt;0,Source!BA59,1)*Source!I59),2)+ROUND((Source!CS59/IF(Source!BS59&lt;&gt;0,Source!BS59,1)*Source!I59),2)),2)</f>
        <v>0</v>
      </c>
      <c r="Y88">
        <f>ROUND((Source!FY59/100)*(ROUND((Source!CT59/IF(Source!BA59&lt;&gt;0,Source!BA59,1)*Source!I59),2)+ROUND((Source!CS59/IF(Source!BS59&lt;&gt;0,Source!BS59,1)*Source!I59),2)),2)</f>
        <v>0</v>
      </c>
    </row>
    <row r="89" spans="1:23" ht="15.75">
      <c r="A89" s="14"/>
      <c r="B89" s="14"/>
      <c r="C89" s="14"/>
      <c r="D89" s="14"/>
      <c r="E89" s="14"/>
      <c r="F89" s="14"/>
      <c r="G89" s="14"/>
      <c r="H89" s="38">
        <f>ROUND((Source!CT58/IF(Source!BA58&lt;&gt;0,Source!BA58,1)*Source!I58),2)+ROUND((Source!CR58/IF(Source!BB58&lt;&gt;0,Source!BB58,1)*Source!I58),2)+H84+H85+H86+H88</f>
        <v>1489.02</v>
      </c>
      <c r="I89" s="39"/>
      <c r="J89" s="39"/>
      <c r="K89" s="38">
        <f>Source!S58+Source!Q58+K84+K85+K86+K88</f>
        <v>13328.07</v>
      </c>
      <c r="L89" s="38">
        <f>Source!U58</f>
        <v>2.5780800000000004</v>
      </c>
      <c r="M89" s="33">
        <f>H89</f>
        <v>1489.02</v>
      </c>
      <c r="N89">
        <f>ROUND((Source!CT58/IF(Source!BA58&lt;&gt;0,Source!BA58,1)*Source!I58),2)</f>
        <v>20.68</v>
      </c>
      <c r="O89">
        <f>IF(Source!BI58=1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492.11955600000005</v>
      </c>
      <c r="P89">
        <f>IF(Source!BI58=2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Q89">
        <f>IF(Source!BI58=3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R89">
        <f>IF(Source!BI58=4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S89">
        <f>IF(Source!BI58=1,Source!O58+Source!X58+Source!Y58,0)</f>
        <v>4106.83</v>
      </c>
      <c r="T89">
        <f>IF(Source!BI58=2,Source!O58+Source!X58+Source!Y58,0)</f>
        <v>0</v>
      </c>
      <c r="U89">
        <f>IF(Source!BI58=3,Source!O58+Source!X58+Source!Y58,0)</f>
        <v>0</v>
      </c>
      <c r="V89">
        <f>IF(Source!BI58=4,Source!O58+Source!X58+Source!Y58,0)</f>
        <v>0</v>
      </c>
      <c r="W89">
        <f>ROUND((Source!CS58/IF(Source!BS58&lt;&gt;0,Source!BS58,1)*Source!I58),2)</f>
        <v>29.11</v>
      </c>
    </row>
    <row r="90" spans="1:12" ht="45">
      <c r="A90" s="29" t="str">
        <f>Source!E60</f>
        <v>7</v>
      </c>
      <c r="B90" s="29" t="str">
        <f>Source!F60</f>
        <v>27-04-001-4</v>
      </c>
      <c r="C90" s="30" t="str">
        <f>Source!G60</f>
        <v>Устройство подстилающих и выравнивающих слоев оснований из щебня</v>
      </c>
      <c r="D90" s="31" t="str">
        <f>Source!H60</f>
        <v>100 м3</v>
      </c>
      <c r="E90" s="14">
        <f>ROUND(Source!I60,6)</f>
        <v>0.123</v>
      </c>
      <c r="F90" s="16">
        <f>IF(Source!AK60&lt;&gt;0,Source!AK60,Source!AL60+Source!AM60+Source!AO60)</f>
        <v>3578.4199999999996</v>
      </c>
      <c r="G90" s="14"/>
      <c r="H90" s="14"/>
      <c r="I90" s="32" t="str">
        <f>IF(Source!BO60&lt;&gt;"",Source!BO60,"")</f>
        <v>27-04-001-4</v>
      </c>
      <c r="J90" s="14"/>
      <c r="K90" s="14"/>
      <c r="L90" s="14"/>
    </row>
    <row r="91" spans="1:12" ht="15">
      <c r="A91" s="14"/>
      <c r="B91" s="14"/>
      <c r="C91" s="14" t="s">
        <v>391</v>
      </c>
      <c r="D91" s="14"/>
      <c r="E91" s="14"/>
      <c r="F91" s="16">
        <f>Source!AO60</f>
        <v>195.7</v>
      </c>
      <c r="G91" s="32">
        <f>Source!DG60</f>
      </c>
      <c r="H91" s="16">
        <f>ROUND((Source!CT60/IF(Source!BA60&lt;&gt;0,Source!BA60,1)*Source!I60),2)</f>
        <v>24.07</v>
      </c>
      <c r="I91" s="14"/>
      <c r="J91" s="14">
        <f>Source!BA60</f>
        <v>17.84</v>
      </c>
      <c r="K91" s="16">
        <f>Source!S60</f>
        <v>429.43</v>
      </c>
      <c r="L91" s="14"/>
    </row>
    <row r="92" spans="1:12" ht="15">
      <c r="A92" s="14"/>
      <c r="B92" s="14"/>
      <c r="C92" s="14" t="s">
        <v>58</v>
      </c>
      <c r="D92" s="14"/>
      <c r="E92" s="14"/>
      <c r="F92" s="16">
        <f>Source!AM60</f>
        <v>3365.64</v>
      </c>
      <c r="G92" s="32">
        <f>Source!DE60</f>
      </c>
      <c r="H92" s="16">
        <f>ROUND((Source!CR60/IF(Source!BB60&lt;&gt;0,Source!BB60,1)*Source!I60),2)</f>
        <v>413.97</v>
      </c>
      <c r="I92" s="14"/>
      <c r="J92" s="14">
        <f>Source!BB60</f>
        <v>6</v>
      </c>
      <c r="K92" s="16">
        <f>Source!Q60</f>
        <v>2483.84</v>
      </c>
      <c r="L92" s="14"/>
    </row>
    <row r="93" spans="1:12" ht="15">
      <c r="A93" s="14"/>
      <c r="B93" s="14"/>
      <c r="C93" s="14" t="s">
        <v>396</v>
      </c>
      <c r="D93" s="14"/>
      <c r="E93" s="14"/>
      <c r="F93" s="16">
        <f>Source!AN60</f>
        <v>280.98</v>
      </c>
      <c r="G93" s="32">
        <f>Source!DF60</f>
      </c>
      <c r="H93" s="40">
        <f>ROUND((Source!CS60/IF(Source!BS60&lt;&gt;0,Source!BS60,1)*Source!I60),2)</f>
        <v>34.56</v>
      </c>
      <c r="I93" s="14"/>
      <c r="J93" s="14">
        <f>Source!BS60</f>
        <v>17.84</v>
      </c>
      <c r="K93" s="40">
        <f>Source!R60</f>
        <v>616.56</v>
      </c>
      <c r="L93" s="14"/>
    </row>
    <row r="94" spans="1:12" ht="15">
      <c r="A94" s="14"/>
      <c r="B94" s="14"/>
      <c r="C94" s="14" t="s">
        <v>397</v>
      </c>
      <c r="D94" s="14"/>
      <c r="E94" s="14"/>
      <c r="F94" s="16">
        <f>Source!AL60</f>
        <v>17.08</v>
      </c>
      <c r="G94" s="32">
        <f>Source!DD60</f>
      </c>
      <c r="H94" s="16">
        <f>ROUND((Source!CQ60/IF(Source!BC60&lt;&gt;0,Source!BC60,1)*Source!I60),2)</f>
        <v>2.1</v>
      </c>
      <c r="I94" s="14"/>
      <c r="J94" s="14">
        <f>Source!BC60</f>
        <v>4.95</v>
      </c>
      <c r="K94" s="16">
        <f>Source!P60</f>
        <v>10.4</v>
      </c>
      <c r="L94" s="14"/>
    </row>
    <row r="95" spans="1:24" ht="15">
      <c r="A95" s="14"/>
      <c r="B95" s="14"/>
      <c r="C95" s="14" t="s">
        <v>392</v>
      </c>
      <c r="D95" s="17" t="s">
        <v>393</v>
      </c>
      <c r="E95" s="14"/>
      <c r="F95" s="16">
        <f>Source!BZ60</f>
        <v>142</v>
      </c>
      <c r="G95" s="14"/>
      <c r="H95" s="16">
        <f>X95+X98</f>
        <v>83.25</v>
      </c>
      <c r="I95" s="14" t="str">
        <f>Source!FV60</f>
        <v>((*0.85))</v>
      </c>
      <c r="J95" s="16">
        <f>Source!AT60</f>
        <v>121</v>
      </c>
      <c r="K95" s="16">
        <f>Source!X60+Source!X61</f>
        <v>1265.65</v>
      </c>
      <c r="L95" s="14"/>
      <c r="X95">
        <f>ROUND((Source!FX60/100)*(ROUND((Source!CT60/IF(Source!BA60&lt;&gt;0,Source!BA60,1)*Source!I60),2)+ROUND((Source!CS60/IF(Source!BS60&lt;&gt;0,Source!BS60,1)*Source!I60),2)),2)</f>
        <v>83.25</v>
      </c>
    </row>
    <row r="96" spans="1:25" ht="15">
      <c r="A96" s="14"/>
      <c r="B96" s="14"/>
      <c r="C96" s="14" t="s">
        <v>74</v>
      </c>
      <c r="D96" s="17" t="s">
        <v>393</v>
      </c>
      <c r="E96" s="14"/>
      <c r="F96" s="16">
        <f>Source!CA60</f>
        <v>95</v>
      </c>
      <c r="G96" s="14" t="str">
        <f>Source!FU60</f>
        <v>*0.85</v>
      </c>
      <c r="H96" s="16">
        <f>Y96+Y98</f>
        <v>47.34</v>
      </c>
      <c r="I96" s="14" t="str">
        <f>Source!FW60</f>
        <v>((*0.8))</v>
      </c>
      <c r="J96" s="16">
        <f>Source!AU60</f>
        <v>65</v>
      </c>
      <c r="K96" s="16">
        <f>Source!Y60+Source!Y61</f>
        <v>679.89</v>
      </c>
      <c r="L96" s="14"/>
      <c r="Y96">
        <f>ROUND((Source!FY60/100)*(ROUND((Source!CT60/IF(Source!BA60&lt;&gt;0,Source!BA60,1)*Source!I60),2)+ROUND((Source!CS60/IF(Source!BS60&lt;&gt;0,Source!BS60,1)*Source!I60),2)),2)</f>
        <v>47.34</v>
      </c>
    </row>
    <row r="97" spans="1:12" ht="15">
      <c r="A97" s="14"/>
      <c r="B97" s="14"/>
      <c r="C97" s="14" t="s">
        <v>394</v>
      </c>
      <c r="D97" s="17" t="s">
        <v>395</v>
      </c>
      <c r="E97" s="14">
        <f>Source!AQ60</f>
        <v>24.19</v>
      </c>
      <c r="F97" s="14"/>
      <c r="G97" s="32">
        <f>Source!DI60</f>
      </c>
      <c r="H97" s="14"/>
      <c r="I97" s="14"/>
      <c r="J97" s="14"/>
      <c r="K97" s="14"/>
      <c r="L97" s="16">
        <f>Source!U60</f>
        <v>2.9753700000000003</v>
      </c>
    </row>
    <row r="98" spans="1:25" ht="45">
      <c r="A98" s="42"/>
      <c r="B98" s="42" t="str">
        <f>Source!F61</f>
        <v>408-0393</v>
      </c>
      <c r="C98" s="43" t="str">
        <f>Source!G61</f>
        <v>Щебень известняковый для строительных работ марки 600 фракции 40-70 мм</v>
      </c>
      <c r="D98" s="44" t="str">
        <f>Source!H61</f>
        <v>м3</v>
      </c>
      <c r="E98" s="34">
        <f>ROUND(Source!I61,6)</f>
        <v>15.375</v>
      </c>
      <c r="F98" s="37">
        <f>IF(Source!AL61=0,Source!AK61,Source!AL61)</f>
        <v>98.6</v>
      </c>
      <c r="G98" s="36">
        <f>Source!DD61</f>
      </c>
      <c r="H98" s="45">
        <f>ROUND((Source!CR61/IF(Source!BB61&lt;&gt;0,Source!BB61,1)*Source!I61),2)+ROUND((Source!CQ61/IF(Source!BC61&lt;&gt;0,Source!BC61,1)*Source!I61),2)+ROUND((Source!CT61/IF(Source!BA61&lt;&gt;0,Source!BA61,1)*Source!I61),2)</f>
        <v>1515.98</v>
      </c>
      <c r="I98" s="36" t="str">
        <f>IF(Source!BO61&lt;&gt;"",Source!BO61,"")</f>
        <v>408-0393</v>
      </c>
      <c r="J98" s="34">
        <f>Source!BC61</f>
        <v>10.79</v>
      </c>
      <c r="K98" s="37">
        <f>Source!O61</f>
        <v>16357.37</v>
      </c>
      <c r="L98" s="34"/>
      <c r="N98">
        <f>ROUND((Source!CT61/IF(Source!BA61&lt;&gt;0,Source!BA61,1)*Source!I61),2)</f>
        <v>0</v>
      </c>
      <c r="O98">
        <f>IF(Source!BI61=1,(ROUND((Source!CR61/IF(Source!BB61&lt;&gt;0,Source!BB61,1)*Source!I61),2)+ROUND((Source!CQ61/IF(Source!BC61&lt;&gt;0,Source!BC61,1)*Source!I61),2)+ROUND((Source!CT61/IF(Source!BA61&lt;&gt;0,Source!BA61,1)*Source!I61),2)),0)</f>
        <v>1515.98</v>
      </c>
      <c r="P98">
        <f>IF(Source!BI61=2,(ROUND((Source!CR61/IF(Source!BB61&lt;&gt;0,Source!BB61,1)*Source!I61),2)+ROUND((Source!CQ61/IF(Source!BC61&lt;&gt;0,Source!BC61,1)*Source!I61),2)+ROUND((Source!CT61/IF(Source!BA61&lt;&gt;0,Source!BA61,1)*Source!I61),2)),0)</f>
        <v>0</v>
      </c>
      <c r="Q98">
        <f>IF(Source!BI61=3,(ROUND((Source!CR61/IF(Source!BB61&lt;&gt;0,Source!BB61,1)*Source!I61),2)+ROUND((Source!CQ61/IF(Source!BC61&lt;&gt;0,Source!BC61,1)*Source!I61),2)+ROUND((Source!CT61/IF(Source!BA61&lt;&gt;0,Source!BA61,1)*Source!I61),2)),0)</f>
        <v>0</v>
      </c>
      <c r="R98">
        <f>IF(Source!BI61=4,(ROUND((Source!CR61/IF(Source!BB61&lt;&gt;0,Source!BB61,1)*Source!I61),2)+ROUND((Source!CQ61/IF(Source!BC61&lt;&gt;0,Source!BC61,1)*Source!I61),2)+ROUND((Source!CT61/IF(Source!BA61&lt;&gt;0,Source!BA61,1)*Source!I61),2)),0)</f>
        <v>0</v>
      </c>
      <c r="S98">
        <f>IF(Source!BI61=1,Source!O61+Source!X61+Source!Y61,0)</f>
        <v>16357.37</v>
      </c>
      <c r="T98">
        <f>IF(Source!BI61=2,Source!O61+Source!X61+Source!Y61,0)</f>
        <v>0</v>
      </c>
      <c r="U98">
        <f>IF(Source!BI61=3,Source!O61+Source!X61+Source!Y61,0)</f>
        <v>0</v>
      </c>
      <c r="V98">
        <f>IF(Source!BI61=4,Source!O61+Source!X61+Source!Y61,0)</f>
        <v>0</v>
      </c>
      <c r="W98">
        <f>ROUND((Source!CS61/IF(Source!BS61&lt;&gt;0,Source!BS61,1)*Source!I61),2)</f>
        <v>0</v>
      </c>
      <c r="X98">
        <f>ROUND((Source!FX61/100)*(ROUND((Source!CT61/IF(Source!BA61&lt;&gt;0,Source!BA61,1)*Source!I61),2)+ROUND((Source!CS61/IF(Source!BS61&lt;&gt;0,Source!BS61,1)*Source!I61),2)),2)</f>
        <v>0</v>
      </c>
      <c r="Y98">
        <f>ROUND((Source!FY61/100)*(ROUND((Source!CT61/IF(Source!BA61&lt;&gt;0,Source!BA61,1)*Source!I61),2)+ROUND((Source!CS61/IF(Source!BS61&lt;&gt;0,Source!BS61,1)*Source!I61),2)),2)</f>
        <v>0</v>
      </c>
    </row>
    <row r="99" spans="1:23" ht="15.75">
      <c r="A99" s="14"/>
      <c r="B99" s="14"/>
      <c r="C99" s="14"/>
      <c r="D99" s="14"/>
      <c r="E99" s="14"/>
      <c r="F99" s="14"/>
      <c r="G99" s="14"/>
      <c r="H99" s="38">
        <f>ROUND((Source!CT60/IF(Source!BA60&lt;&gt;0,Source!BA60,1)*Source!I60),2)+ROUND((Source!CR60/IF(Source!BB60&lt;&gt;0,Source!BB60,1)*Source!I60),2)+H94+H95+H96+H98</f>
        <v>2086.71</v>
      </c>
      <c r="I99" s="39"/>
      <c r="J99" s="39"/>
      <c r="K99" s="38">
        <f>Source!S60+Source!Q60+K94+K95+K96+K98</f>
        <v>21226.58</v>
      </c>
      <c r="L99" s="38">
        <f>Source!U60</f>
        <v>2.9753700000000003</v>
      </c>
      <c r="M99" s="33">
        <f>H99</f>
        <v>2086.71</v>
      </c>
      <c r="N99">
        <f>ROUND((Source!CT60/IF(Source!BA60&lt;&gt;0,Source!BA60,1)*Source!I60),2)</f>
        <v>24.07</v>
      </c>
      <c r="O99">
        <f>IF(Source!BI60=1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570.7476381</v>
      </c>
      <c r="P99">
        <f>IF(Source!BI60=2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Q99">
        <f>IF(Source!BI60=3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R99">
        <f>IF(Source!BI60=4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S99">
        <f>IF(Source!BI60=1,Source!O60+Source!X60+Source!Y60,0)</f>
        <v>4869.21</v>
      </c>
      <c r="T99">
        <f>IF(Source!BI60=2,Source!O60+Source!X60+Source!Y60,0)</f>
        <v>0</v>
      </c>
      <c r="U99">
        <f>IF(Source!BI60=3,Source!O60+Source!X60+Source!Y60,0)</f>
        <v>0</v>
      </c>
      <c r="V99">
        <f>IF(Source!BI60=4,Source!O60+Source!X60+Source!Y60,0)</f>
        <v>0</v>
      </c>
      <c r="W99">
        <f>ROUND((Source!CS60/IF(Source!BS60&lt;&gt;0,Source!BS60,1)*Source!I60),2)</f>
        <v>34.56</v>
      </c>
    </row>
    <row r="101" spans="3:23" s="39" customFormat="1" ht="15.75">
      <c r="C101" s="39" t="s">
        <v>176</v>
      </c>
      <c r="G101" s="107">
        <f>SUM(M68:M100)</f>
        <v>4210.26</v>
      </c>
      <c r="H101" s="107"/>
      <c r="J101" s="107">
        <f>ROUND(Source!AB54+Source!AK54+Source!AL54+Source!AE54*0/100,2)</f>
        <v>38436.19</v>
      </c>
      <c r="K101" s="107"/>
      <c r="L101" s="38">
        <f>Source!AH54</f>
        <v>5.86</v>
      </c>
      <c r="N101" s="38">
        <f aca="true" t="shared" si="1" ref="N101:W101">SUM(N68:N100)</f>
        <v>47.16</v>
      </c>
      <c r="O101" s="38">
        <f t="shared" si="1"/>
        <v>3683.5955866</v>
      </c>
      <c r="P101" s="38">
        <f t="shared" si="1"/>
        <v>0</v>
      </c>
      <c r="Q101" s="38">
        <f t="shared" si="1"/>
        <v>0</v>
      </c>
      <c r="R101" s="38">
        <f t="shared" si="1"/>
        <v>526.6800000000001</v>
      </c>
      <c r="S101" s="38">
        <f t="shared" si="1"/>
        <v>35634.25</v>
      </c>
      <c r="T101" s="38">
        <f t="shared" si="1"/>
        <v>0</v>
      </c>
      <c r="U101" s="38">
        <f t="shared" si="1"/>
        <v>0</v>
      </c>
      <c r="V101" s="38">
        <f t="shared" si="1"/>
        <v>2801.94</v>
      </c>
      <c r="W101" s="39">
        <f t="shared" si="1"/>
        <v>75.93</v>
      </c>
    </row>
    <row r="103" spans="3:30" ht="18">
      <c r="C103" s="26" t="s">
        <v>390</v>
      </c>
      <c r="D103" s="106" t="str">
        <f>IF(Source!C12="1",Source!F79,Source!G79)</f>
        <v>Ремонт парковочного кармана</v>
      </c>
      <c r="E103" s="108"/>
      <c r="F103" s="108"/>
      <c r="G103" s="108"/>
      <c r="H103" s="108"/>
      <c r="I103" s="108"/>
      <c r="J103" s="108"/>
      <c r="K103" s="108"/>
      <c r="L103" s="108"/>
      <c r="AD103" s="28" t="str">
        <f>IF(Source!C12="1",Source!F79,Source!G79)</f>
        <v>Ремонт парковочного кармана</v>
      </c>
    </row>
    <row r="105" spans="1:12" ht="45">
      <c r="A105" s="29" t="str">
        <f>Source!E83</f>
        <v>8</v>
      </c>
      <c r="B105" s="29" t="str">
        <f>Source!F83</f>
        <v>27-04-001-4</v>
      </c>
      <c r="C105" s="30" t="str">
        <f>Source!G83</f>
        <v>Устройство подстилающих и выравнивающих слоев оснований из щебня</v>
      </c>
      <c r="D105" s="31" t="str">
        <f>Source!H83</f>
        <v>100 м3</v>
      </c>
      <c r="E105" s="14">
        <f>ROUND(Source!I83,6)</f>
        <v>0.165</v>
      </c>
      <c r="F105" s="16">
        <f>IF(Source!AK83&lt;&gt;0,Source!AK83,Source!AL83+Source!AM83+Source!AO83)</f>
        <v>3578.4199999999996</v>
      </c>
      <c r="G105" s="14"/>
      <c r="H105" s="14"/>
      <c r="I105" s="32" t="str">
        <f>IF(Source!BO83&lt;&gt;"",Source!BO83,"")</f>
        <v>27-04-001-4</v>
      </c>
      <c r="J105" s="14"/>
      <c r="K105" s="14"/>
      <c r="L105" s="14"/>
    </row>
    <row r="106" spans="1:12" ht="15">
      <c r="A106" s="14"/>
      <c r="B106" s="14"/>
      <c r="C106" s="14" t="s">
        <v>391</v>
      </c>
      <c r="D106" s="14"/>
      <c r="E106" s="14"/>
      <c r="F106" s="16">
        <f>Source!AO83</f>
        <v>195.7</v>
      </c>
      <c r="G106" s="32">
        <f>Source!DG83</f>
      </c>
      <c r="H106" s="16">
        <f>ROUND((Source!CT83/IF(Source!BA83&lt;&gt;0,Source!BA83,1)*Source!I83),2)</f>
        <v>32.29</v>
      </c>
      <c r="I106" s="14"/>
      <c r="J106" s="14">
        <f>Source!BA83</f>
        <v>17.84</v>
      </c>
      <c r="K106" s="16">
        <f>Source!S83</f>
        <v>576.06</v>
      </c>
      <c r="L106" s="14"/>
    </row>
    <row r="107" spans="1:12" ht="15">
      <c r="A107" s="14"/>
      <c r="B107" s="14"/>
      <c r="C107" s="14" t="s">
        <v>58</v>
      </c>
      <c r="D107" s="14"/>
      <c r="E107" s="14"/>
      <c r="F107" s="16">
        <f>Source!AM83</f>
        <v>3365.64</v>
      </c>
      <c r="G107" s="32">
        <f>Source!DE83</f>
      </c>
      <c r="H107" s="16">
        <f>ROUND((Source!CR83/IF(Source!BB83&lt;&gt;0,Source!BB83,1)*Source!I83),2)</f>
        <v>555.33</v>
      </c>
      <c r="I107" s="14"/>
      <c r="J107" s="14">
        <f>Source!BB83</f>
        <v>6</v>
      </c>
      <c r="K107" s="16">
        <f>Source!Q83</f>
        <v>3331.98</v>
      </c>
      <c r="L107" s="14"/>
    </row>
    <row r="108" spans="1:12" ht="15">
      <c r="A108" s="14"/>
      <c r="B108" s="14"/>
      <c r="C108" s="14" t="s">
        <v>396</v>
      </c>
      <c r="D108" s="14"/>
      <c r="E108" s="14"/>
      <c r="F108" s="16">
        <f>Source!AN83</f>
        <v>280.98</v>
      </c>
      <c r="G108" s="32">
        <f>Source!DF83</f>
      </c>
      <c r="H108" s="40">
        <f>ROUND((Source!CS83/IF(Source!BS83&lt;&gt;0,Source!BS83,1)*Source!I83),2)</f>
        <v>46.36</v>
      </c>
      <c r="I108" s="14"/>
      <c r="J108" s="14">
        <f>Source!BS83</f>
        <v>17.84</v>
      </c>
      <c r="K108" s="40">
        <f>Source!R83</f>
        <v>827.09</v>
      </c>
      <c r="L108" s="14"/>
    </row>
    <row r="109" spans="1:12" ht="15">
      <c r="A109" s="14"/>
      <c r="B109" s="14"/>
      <c r="C109" s="14" t="s">
        <v>397</v>
      </c>
      <c r="D109" s="14"/>
      <c r="E109" s="14"/>
      <c r="F109" s="16">
        <f>Source!AL83</f>
        <v>17.08</v>
      </c>
      <c r="G109" s="32">
        <f>Source!DD83</f>
      </c>
      <c r="H109" s="16">
        <f>ROUND((Source!CQ83/IF(Source!BC83&lt;&gt;0,Source!BC83,1)*Source!I83),2)</f>
        <v>2.82</v>
      </c>
      <c r="I109" s="14"/>
      <c r="J109" s="14">
        <f>Source!BC83</f>
        <v>4.95</v>
      </c>
      <c r="K109" s="16">
        <f>Source!P83</f>
        <v>13.95</v>
      </c>
      <c r="L109" s="14"/>
    </row>
    <row r="110" spans="1:24" ht="15">
      <c r="A110" s="14"/>
      <c r="B110" s="14"/>
      <c r="C110" s="14" t="s">
        <v>392</v>
      </c>
      <c r="D110" s="17" t="s">
        <v>393</v>
      </c>
      <c r="E110" s="14"/>
      <c r="F110" s="16">
        <f>Source!BZ83</f>
        <v>142</v>
      </c>
      <c r="G110" s="14"/>
      <c r="H110" s="16">
        <f>X110+X113</f>
        <v>111.68</v>
      </c>
      <c r="I110" s="14" t="str">
        <f>Source!FV83</f>
        <v>((*0.85))</v>
      </c>
      <c r="J110" s="16">
        <f>Source!AT83</f>
        <v>121</v>
      </c>
      <c r="K110" s="16">
        <f>Source!X83+Source!X84</f>
        <v>1697.81</v>
      </c>
      <c r="L110" s="14"/>
      <c r="X110">
        <f>ROUND((Source!FX83/100)*(ROUND((Source!CT83/IF(Source!BA83&lt;&gt;0,Source!BA83,1)*Source!I83),2)+ROUND((Source!CS83/IF(Source!BS83&lt;&gt;0,Source!BS83,1)*Source!I83),2)),2)</f>
        <v>111.68</v>
      </c>
    </row>
    <row r="111" spans="1:25" ht="15">
      <c r="A111" s="14"/>
      <c r="B111" s="14"/>
      <c r="C111" s="14" t="s">
        <v>74</v>
      </c>
      <c r="D111" s="17" t="s">
        <v>393</v>
      </c>
      <c r="E111" s="14"/>
      <c r="F111" s="16">
        <f>Source!CA83</f>
        <v>95</v>
      </c>
      <c r="G111" s="14" t="str">
        <f>Source!FU83</f>
        <v>*0.85</v>
      </c>
      <c r="H111" s="16">
        <f>Y111+Y113</f>
        <v>63.51</v>
      </c>
      <c r="I111" s="14" t="str">
        <f>Source!FW83</f>
        <v>((*0.8))</v>
      </c>
      <c r="J111" s="16">
        <f>Source!AU83</f>
        <v>65</v>
      </c>
      <c r="K111" s="16">
        <f>Source!Y83+Source!Y84</f>
        <v>912.05</v>
      </c>
      <c r="L111" s="14"/>
      <c r="Y111">
        <f>ROUND((Source!FY83/100)*(ROUND((Source!CT83/IF(Source!BA83&lt;&gt;0,Source!BA83,1)*Source!I83),2)+ROUND((Source!CS83/IF(Source!BS83&lt;&gt;0,Source!BS83,1)*Source!I83),2)),2)</f>
        <v>63.51</v>
      </c>
    </row>
    <row r="112" spans="1:12" ht="15">
      <c r="A112" s="14"/>
      <c r="B112" s="14"/>
      <c r="C112" s="14" t="s">
        <v>394</v>
      </c>
      <c r="D112" s="17" t="s">
        <v>395</v>
      </c>
      <c r="E112" s="14">
        <f>Source!AQ83</f>
        <v>24.19</v>
      </c>
      <c r="F112" s="14"/>
      <c r="G112" s="32">
        <f>Source!DI83</f>
      </c>
      <c r="H112" s="14"/>
      <c r="I112" s="14"/>
      <c r="J112" s="14"/>
      <c r="K112" s="14"/>
      <c r="L112" s="16">
        <f>Source!U83</f>
        <v>3.9913500000000006</v>
      </c>
    </row>
    <row r="113" spans="1:25" ht="45">
      <c r="A113" s="42"/>
      <c r="B113" s="42" t="str">
        <f>Source!F84</f>
        <v>408-0393</v>
      </c>
      <c r="C113" s="43" t="str">
        <f>Source!G84</f>
        <v>Щебень известняковый для строительных работ марки 600 фракции 40-70 мм</v>
      </c>
      <c r="D113" s="44" t="str">
        <f>Source!H84</f>
        <v>м3</v>
      </c>
      <c r="E113" s="34">
        <f>ROUND(Source!I84,6)</f>
        <v>20.625</v>
      </c>
      <c r="F113" s="37">
        <f>IF(Source!AL84=0,Source!AK84,Source!AL84)</f>
        <v>98.6</v>
      </c>
      <c r="G113" s="36">
        <f>Source!DD84</f>
      </c>
      <c r="H113" s="45">
        <f>ROUND((Source!CR84/IF(Source!BB84&lt;&gt;0,Source!BB84,1)*Source!I84),2)+ROUND((Source!CQ84/IF(Source!BC84&lt;&gt;0,Source!BC84,1)*Source!I84),2)+ROUND((Source!CT84/IF(Source!BA84&lt;&gt;0,Source!BA84,1)*Source!I84),2)</f>
        <v>2033.63</v>
      </c>
      <c r="I113" s="36" t="str">
        <f>IF(Source!BO84&lt;&gt;"",Source!BO84,"")</f>
        <v>408-0393</v>
      </c>
      <c r="J113" s="34">
        <f>Source!BC84</f>
        <v>10.79</v>
      </c>
      <c r="K113" s="37">
        <f>Source!O84</f>
        <v>21942.81</v>
      </c>
      <c r="L113" s="34"/>
      <c r="N113">
        <f>ROUND((Source!CT84/IF(Source!BA84&lt;&gt;0,Source!BA84,1)*Source!I84),2)</f>
        <v>0</v>
      </c>
      <c r="O113">
        <f>IF(Source!BI84=1,(ROUND((Source!CR84/IF(Source!BB84&lt;&gt;0,Source!BB84,1)*Source!I84),2)+ROUND((Source!CQ84/IF(Source!BC84&lt;&gt;0,Source!BC84,1)*Source!I84),2)+ROUND((Source!CT84/IF(Source!BA84&lt;&gt;0,Source!BA84,1)*Source!I84),2)),0)</f>
        <v>2033.63</v>
      </c>
      <c r="P113">
        <f>IF(Source!BI84=2,(ROUND((Source!CR84/IF(Source!BB84&lt;&gt;0,Source!BB84,1)*Source!I84),2)+ROUND((Source!CQ84/IF(Source!BC84&lt;&gt;0,Source!BC84,1)*Source!I84),2)+ROUND((Source!CT84/IF(Source!BA84&lt;&gt;0,Source!BA84,1)*Source!I84),2)),0)</f>
        <v>0</v>
      </c>
      <c r="Q113">
        <f>IF(Source!BI84=3,(ROUND((Source!CR84/IF(Source!BB84&lt;&gt;0,Source!BB84,1)*Source!I84),2)+ROUND((Source!CQ84/IF(Source!BC84&lt;&gt;0,Source!BC84,1)*Source!I84),2)+ROUND((Source!CT84/IF(Source!BA84&lt;&gt;0,Source!BA84,1)*Source!I84),2)),0)</f>
        <v>0</v>
      </c>
      <c r="R113">
        <f>IF(Source!BI84=4,(ROUND((Source!CR84/IF(Source!BB84&lt;&gt;0,Source!BB84,1)*Source!I84),2)+ROUND((Source!CQ84/IF(Source!BC84&lt;&gt;0,Source!BC84,1)*Source!I84),2)+ROUND((Source!CT84/IF(Source!BA84&lt;&gt;0,Source!BA84,1)*Source!I84),2)),0)</f>
        <v>0</v>
      </c>
      <c r="S113">
        <f>IF(Source!BI84=1,Source!O84+Source!X84+Source!Y84,0)</f>
        <v>21942.81</v>
      </c>
      <c r="T113">
        <f>IF(Source!BI84=2,Source!O84+Source!X84+Source!Y84,0)</f>
        <v>0</v>
      </c>
      <c r="U113">
        <f>IF(Source!BI84=3,Source!O84+Source!X84+Source!Y84,0)</f>
        <v>0</v>
      </c>
      <c r="V113">
        <f>IF(Source!BI84=4,Source!O84+Source!X84+Source!Y84,0)</f>
        <v>0</v>
      </c>
      <c r="W113">
        <f>ROUND((Source!CS84/IF(Source!BS84&lt;&gt;0,Source!BS84,1)*Source!I84),2)</f>
        <v>0</v>
      </c>
      <c r="X113">
        <f>ROUND((Source!FX84/100)*(ROUND((Source!CT84/IF(Source!BA84&lt;&gt;0,Source!BA84,1)*Source!I84),2)+ROUND((Source!CS84/IF(Source!BS84&lt;&gt;0,Source!BS84,1)*Source!I84),2)),2)</f>
        <v>0</v>
      </c>
      <c r="Y113">
        <f>ROUND((Source!FY84/100)*(ROUND((Source!CT84/IF(Source!BA84&lt;&gt;0,Source!BA84,1)*Source!I84),2)+ROUND((Source!CS84/IF(Source!BS84&lt;&gt;0,Source!BS84,1)*Source!I84),2)),2)</f>
        <v>0</v>
      </c>
    </row>
    <row r="114" spans="1:23" ht="15.75">
      <c r="A114" s="14"/>
      <c r="B114" s="14"/>
      <c r="C114" s="14"/>
      <c r="D114" s="14"/>
      <c r="E114" s="14"/>
      <c r="F114" s="14"/>
      <c r="G114" s="14"/>
      <c r="H114" s="38">
        <f>ROUND((Source!CT83/IF(Source!BA83&lt;&gt;0,Source!BA83,1)*Source!I83),2)+ROUND((Source!CR83/IF(Source!BB83&lt;&gt;0,Source!BB83,1)*Source!I83),2)+H109+H110+H111+H113</f>
        <v>2799.26</v>
      </c>
      <c r="I114" s="39"/>
      <c r="J114" s="39"/>
      <c r="K114" s="38">
        <f>Source!S83+Source!Q83+K109+K110+K111+K113</f>
        <v>28474.66</v>
      </c>
      <c r="L114" s="38">
        <f>Source!U83</f>
        <v>3.9913500000000006</v>
      </c>
      <c r="M114" s="33">
        <f>H114</f>
        <v>2799.26</v>
      </c>
      <c r="N114">
        <f>ROUND((Source!CT83/IF(Source!BA83&lt;&gt;0,Source!BA83,1)*Source!I83),2)</f>
        <v>32.29</v>
      </c>
      <c r="O114">
        <f>IF(Source!BI83=1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765.6370755</v>
      </c>
      <c r="P114">
        <f>IF(Source!BI83=2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Q114">
        <f>IF(Source!BI83=3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R114">
        <f>IF(Source!BI83=4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S114">
        <f>IF(Source!BI83=1,Source!O83+Source!X83+Source!Y83,0)</f>
        <v>6531.849999999999</v>
      </c>
      <c r="T114">
        <f>IF(Source!BI83=2,Source!O83+Source!X83+Source!Y83,0)</f>
        <v>0</v>
      </c>
      <c r="U114">
        <f>IF(Source!BI83=3,Source!O83+Source!X83+Source!Y83,0)</f>
        <v>0</v>
      </c>
      <c r="V114">
        <f>IF(Source!BI83=4,Source!O83+Source!X83+Source!Y83,0)</f>
        <v>0</v>
      </c>
      <c r="W114">
        <f>ROUND((Source!CS83/IF(Source!BS83&lt;&gt;0,Source!BS83,1)*Source!I83),2)</f>
        <v>46.36</v>
      </c>
    </row>
    <row r="115" spans="1:12" ht="90">
      <c r="A115" s="29" t="str">
        <f>Source!E85</f>
        <v>9</v>
      </c>
      <c r="B115" s="29" t="str">
        <f>Source!F85</f>
        <v>27-06-020-1</v>
      </c>
      <c r="C115" s="30" t="str">
        <f>Source!G85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15" s="31" t="str">
        <f>Source!H85</f>
        <v>1000 м2</v>
      </c>
      <c r="E115" s="14">
        <f>ROUND(Source!I85,6)</f>
        <v>0.11</v>
      </c>
      <c r="F115" s="16">
        <f>IF(Source!AK85&lt;&gt;0,Source!AK85,Source!AL85+Source!AM85+Source!AO85)</f>
        <v>54732.409999999996</v>
      </c>
      <c r="G115" s="14"/>
      <c r="H115" s="14"/>
      <c r="I115" s="32" t="str">
        <f>IF(Source!BO85&lt;&gt;"",Source!BO85,"")</f>
        <v>27-06-020-1</v>
      </c>
      <c r="J115" s="14"/>
      <c r="K115" s="14"/>
      <c r="L115" s="14"/>
    </row>
    <row r="116" spans="1:12" ht="15">
      <c r="A116" s="14"/>
      <c r="B116" s="14"/>
      <c r="C116" s="14" t="s">
        <v>391</v>
      </c>
      <c r="D116" s="14"/>
      <c r="E116" s="14"/>
      <c r="F116" s="16">
        <f>Source!AO85</f>
        <v>368.45</v>
      </c>
      <c r="G116" s="32">
        <f>Source!DG85</f>
      </c>
      <c r="H116" s="16">
        <f>ROUND((Source!CT85/IF(Source!BA85&lt;&gt;0,Source!BA85,1)*Source!I85),2)</f>
        <v>40.53</v>
      </c>
      <c r="I116" s="14"/>
      <c r="J116" s="14">
        <f>Source!BA85</f>
        <v>17.84</v>
      </c>
      <c r="K116" s="16">
        <f>Source!S85</f>
        <v>723.05</v>
      </c>
      <c r="L116" s="14"/>
    </row>
    <row r="117" spans="1:12" ht="15">
      <c r="A117" s="14"/>
      <c r="B117" s="14"/>
      <c r="C117" s="14" t="s">
        <v>58</v>
      </c>
      <c r="D117" s="14"/>
      <c r="E117" s="14"/>
      <c r="F117" s="16">
        <f>Source!AM85</f>
        <v>2386.22</v>
      </c>
      <c r="G117" s="32">
        <f>Source!DE85</f>
      </c>
      <c r="H117" s="16">
        <f>ROUND((Source!CR85/IF(Source!BB85&lt;&gt;0,Source!BB85,1)*Source!I85),2)</f>
        <v>262.48</v>
      </c>
      <c r="I117" s="14"/>
      <c r="J117" s="14">
        <f>Source!BB85</f>
        <v>4.93</v>
      </c>
      <c r="K117" s="16">
        <f>Source!Q85</f>
        <v>1294.05</v>
      </c>
      <c r="L117" s="14"/>
    </row>
    <row r="118" spans="1:12" ht="15">
      <c r="A118" s="14"/>
      <c r="B118" s="14"/>
      <c r="C118" s="14" t="s">
        <v>396</v>
      </c>
      <c r="D118" s="14"/>
      <c r="E118" s="14"/>
      <c r="F118" s="16">
        <f>Source!AN85</f>
        <v>262.54</v>
      </c>
      <c r="G118" s="32">
        <f>Source!DF85</f>
      </c>
      <c r="H118" s="40">
        <f>ROUND((Source!CS85/IF(Source!BS85&lt;&gt;0,Source!BS85,1)*Source!I85),2)</f>
        <v>28.88</v>
      </c>
      <c r="I118" s="14"/>
      <c r="J118" s="14">
        <f>Source!BS85</f>
        <v>17.84</v>
      </c>
      <c r="K118" s="40">
        <f>Source!R85</f>
        <v>515.21</v>
      </c>
      <c r="L118" s="14"/>
    </row>
    <row r="119" spans="1:12" ht="15">
      <c r="A119" s="14"/>
      <c r="B119" s="14"/>
      <c r="C119" s="14" t="s">
        <v>397</v>
      </c>
      <c r="D119" s="14"/>
      <c r="E119" s="14"/>
      <c r="F119" s="16">
        <f>Source!AL85</f>
        <v>51977.74</v>
      </c>
      <c r="G119" s="32">
        <f>Source!DD85</f>
      </c>
      <c r="H119" s="16">
        <f>ROUND((Source!CQ85/IF(Source!BC85&lt;&gt;0,Source!BC85,1)*Source!I85),2)</f>
        <v>5717.55</v>
      </c>
      <c r="I119" s="14"/>
      <c r="J119" s="14">
        <f>Source!BC85</f>
        <v>4.74</v>
      </c>
      <c r="K119" s="16">
        <f>Source!P85</f>
        <v>27101.19</v>
      </c>
      <c r="L119" s="14"/>
    </row>
    <row r="120" spans="1:24" ht="15">
      <c r="A120" s="14"/>
      <c r="B120" s="14"/>
      <c r="C120" s="14" t="s">
        <v>392</v>
      </c>
      <c r="D120" s="17" t="s">
        <v>393</v>
      </c>
      <c r="E120" s="14"/>
      <c r="F120" s="16">
        <f>Source!BZ85</f>
        <v>142</v>
      </c>
      <c r="G120" s="14"/>
      <c r="H120" s="16">
        <f>X120</f>
        <v>98.56</v>
      </c>
      <c r="I120" s="14" t="str">
        <f>Source!FV85</f>
        <v>((*0.85))</v>
      </c>
      <c r="J120" s="16">
        <f>Source!AT85</f>
        <v>121</v>
      </c>
      <c r="K120" s="16">
        <f>Source!X85</f>
        <v>1498.29</v>
      </c>
      <c r="L120" s="14"/>
      <c r="X120">
        <f>ROUND((Source!FX85/100)*(ROUND((Source!CT85/IF(Source!BA85&lt;&gt;0,Source!BA85,1)*Source!I85),2)+ROUND((Source!CS85/IF(Source!BS85&lt;&gt;0,Source!BS85,1)*Source!I85),2)),2)</f>
        <v>98.56</v>
      </c>
    </row>
    <row r="121" spans="1:25" ht="15">
      <c r="A121" s="14"/>
      <c r="B121" s="14"/>
      <c r="C121" s="14" t="s">
        <v>74</v>
      </c>
      <c r="D121" s="17" t="s">
        <v>393</v>
      </c>
      <c r="E121" s="14"/>
      <c r="F121" s="16">
        <f>Source!CA85</f>
        <v>95</v>
      </c>
      <c r="G121" s="14" t="str">
        <f>Source!FU85</f>
        <v>*0.85</v>
      </c>
      <c r="H121" s="16">
        <f>Y121</f>
        <v>56.05</v>
      </c>
      <c r="I121" s="14" t="str">
        <f>Source!FW85</f>
        <v>((*0.8))</v>
      </c>
      <c r="J121" s="16">
        <f>Source!AU85</f>
        <v>65</v>
      </c>
      <c r="K121" s="16">
        <f>Source!Y85</f>
        <v>804.87</v>
      </c>
      <c r="L121" s="14"/>
      <c r="Y121">
        <f>ROUND((Source!FY85/100)*(ROUND((Source!CT85/IF(Source!BA85&lt;&gt;0,Source!BA85,1)*Source!I85),2)+ROUND((Source!CS85/IF(Source!BS85&lt;&gt;0,Source!BS85,1)*Source!I85),2)),2)</f>
        <v>56.05</v>
      </c>
    </row>
    <row r="122" spans="1:12" ht="15">
      <c r="A122" s="34"/>
      <c r="B122" s="34"/>
      <c r="C122" s="34" t="s">
        <v>394</v>
      </c>
      <c r="D122" s="35" t="s">
        <v>395</v>
      </c>
      <c r="E122" s="34">
        <f>Source!AQ85</f>
        <v>38.3</v>
      </c>
      <c r="F122" s="34"/>
      <c r="G122" s="36">
        <f>Source!DI85</f>
      </c>
      <c r="H122" s="34"/>
      <c r="I122" s="34"/>
      <c r="J122" s="34"/>
      <c r="K122" s="34"/>
      <c r="L122" s="37">
        <f>Source!U85</f>
        <v>4.213</v>
      </c>
    </row>
    <row r="123" spans="1:23" ht="15.75">
      <c r="A123" s="14"/>
      <c r="B123" s="14"/>
      <c r="C123" s="14"/>
      <c r="D123" s="14"/>
      <c r="E123" s="14"/>
      <c r="F123" s="14"/>
      <c r="G123" s="14"/>
      <c r="H123" s="38">
        <f>ROUND((Source!CT85/IF(Source!BA85&lt;&gt;0,Source!BA85,1)*Source!I85),2)+ROUND((Source!CR85/IF(Source!BB85&lt;&gt;0,Source!BB85,1)*Source!I85),2)+H119+H120+H121</f>
        <v>6175.170000000001</v>
      </c>
      <c r="I123" s="39"/>
      <c r="J123" s="39"/>
      <c r="K123" s="38">
        <f>Source!S85+Source!Q85+K119+K120+K121</f>
        <v>31421.449999999997</v>
      </c>
      <c r="L123" s="38">
        <f>Source!U85</f>
        <v>4.213</v>
      </c>
      <c r="M123" s="33">
        <f>H123</f>
        <v>6175.170000000001</v>
      </c>
      <c r="N123">
        <f>ROUND((Source!CT85/IF(Source!BA85&lt;&gt;0,Source!BA85,1)*Source!I85),2)</f>
        <v>40.53</v>
      </c>
      <c r="O123">
        <f>IF(Source!BI85=1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6175.17342475</v>
      </c>
      <c r="P123">
        <f>IF(Source!BI85=2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Q123">
        <f>IF(Source!BI85=3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R123">
        <f>IF(Source!BI85=4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S123">
        <f>IF(Source!BI85=1,Source!O85+Source!X85+Source!Y85,0)</f>
        <v>31421.45</v>
      </c>
      <c r="T123">
        <f>IF(Source!BI85=2,Source!O85+Source!X85+Source!Y85,0)</f>
        <v>0</v>
      </c>
      <c r="U123">
        <f>IF(Source!BI85=3,Source!O85+Source!X85+Source!Y85,0)</f>
        <v>0</v>
      </c>
      <c r="V123">
        <f>IF(Source!BI85=4,Source!O85+Source!X85+Source!Y85,0)</f>
        <v>0</v>
      </c>
      <c r="W123">
        <f>ROUND((Source!CS85/IF(Source!BS85&lt;&gt;0,Source!BS85,1)*Source!I85),2)</f>
        <v>28.88</v>
      </c>
    </row>
    <row r="124" spans="1:12" ht="60">
      <c r="A124" s="29" t="str">
        <f>Source!E86</f>
        <v>10</v>
      </c>
      <c r="B124" s="29" t="str">
        <f>Source!F86</f>
        <v>27-06-021-1</v>
      </c>
      <c r="C124" s="30" t="str">
        <f>Source!G86</f>
        <v>На каждые 0,5 см изменения толщины покрытия добавлять или исключать к расценке 27-06-020-01</v>
      </c>
      <c r="D124" s="31" t="str">
        <f>Source!H86</f>
        <v>1000 м2</v>
      </c>
      <c r="E124" s="14">
        <f>ROUND(Source!I86,6)</f>
        <v>0.11</v>
      </c>
      <c r="F124" s="16">
        <f>IF(Source!AK86&lt;&gt;0,Source!AK86,Source!AL86+Source!AM86+Source!AO86)</f>
        <v>6485.89</v>
      </c>
      <c r="G124" s="14"/>
      <c r="H124" s="14"/>
      <c r="I124" s="32" t="str">
        <f>IF(Source!BO86&lt;&gt;"",Source!BO86,"")</f>
        <v>27-06-021-1</v>
      </c>
      <c r="J124" s="14"/>
      <c r="K124" s="14"/>
      <c r="L124" s="14"/>
    </row>
    <row r="125" spans="1:12" ht="15">
      <c r="A125" s="14"/>
      <c r="B125" s="14"/>
      <c r="C125" s="14" t="s">
        <v>391</v>
      </c>
      <c r="D125" s="14"/>
      <c r="E125" s="14"/>
      <c r="F125" s="16">
        <f>Source!AO86</f>
        <v>0.87</v>
      </c>
      <c r="G125" s="32" t="str">
        <f>Source!DG86</f>
        <v>)*2</v>
      </c>
      <c r="H125" s="16">
        <f>ROUND((Source!CT86/IF(Source!BA86&lt;&gt;0,Source!BA86,1)*Source!I86),2)</f>
        <v>0.19</v>
      </c>
      <c r="I125" s="14"/>
      <c r="J125" s="14">
        <f>Source!BA86</f>
        <v>17.84</v>
      </c>
      <c r="K125" s="16">
        <f>Source!S86</f>
        <v>3.41</v>
      </c>
      <c r="L125" s="14"/>
    </row>
    <row r="126" spans="1:12" ht="15">
      <c r="A126" s="14"/>
      <c r="B126" s="14"/>
      <c r="C126" s="14" t="s">
        <v>58</v>
      </c>
      <c r="D126" s="14"/>
      <c r="E126" s="14"/>
      <c r="F126" s="16">
        <f>Source!AM86</f>
        <v>3.1</v>
      </c>
      <c r="G126" s="32" t="str">
        <f>Source!DE86</f>
        <v>)*2</v>
      </c>
      <c r="H126" s="16">
        <f>ROUND((Source!CR86/IF(Source!BB86&lt;&gt;0,Source!BB86,1)*Source!I86),2)</f>
        <v>0.68</v>
      </c>
      <c r="I126" s="14"/>
      <c r="J126" s="14">
        <f>Source!BB86</f>
        <v>4.07</v>
      </c>
      <c r="K126" s="16">
        <f>Source!Q86</f>
        <v>2.78</v>
      </c>
      <c r="L126" s="14"/>
    </row>
    <row r="127" spans="1:12" ht="15">
      <c r="A127" s="14"/>
      <c r="B127" s="14"/>
      <c r="C127" s="14" t="s">
        <v>397</v>
      </c>
      <c r="D127" s="14"/>
      <c r="E127" s="14"/>
      <c r="F127" s="16">
        <f>Source!AL86</f>
        <v>6481.92</v>
      </c>
      <c r="G127" s="32" t="str">
        <f>Source!DD86</f>
        <v>)*2</v>
      </c>
      <c r="H127" s="16">
        <f>ROUND((Source!CQ86/IF(Source!BC86&lt;&gt;0,Source!BC86,1)*Source!I86),2)</f>
        <v>1426.02</v>
      </c>
      <c r="I127" s="14"/>
      <c r="J127" s="14">
        <f>Source!BC86</f>
        <v>4.74</v>
      </c>
      <c r="K127" s="16">
        <f>Source!P86</f>
        <v>6759.35</v>
      </c>
      <c r="L127" s="14"/>
    </row>
    <row r="128" spans="1:24" ht="15">
      <c r="A128" s="14"/>
      <c r="B128" s="14"/>
      <c r="C128" s="14" t="s">
        <v>392</v>
      </c>
      <c r="D128" s="17" t="s">
        <v>393</v>
      </c>
      <c r="E128" s="14"/>
      <c r="F128" s="16">
        <f>Source!BZ86</f>
        <v>142</v>
      </c>
      <c r="G128" s="14"/>
      <c r="H128" s="16">
        <f>X128</f>
        <v>0.27</v>
      </c>
      <c r="I128" s="14" t="str">
        <f>Source!FV86</f>
        <v>((*0.85))</v>
      </c>
      <c r="J128" s="16">
        <f>Source!AT86</f>
        <v>121</v>
      </c>
      <c r="K128" s="16">
        <f>Source!X86</f>
        <v>4.13</v>
      </c>
      <c r="L128" s="14"/>
      <c r="X128">
        <f>ROUND((Source!FX86/100)*(ROUND((Source!CT86/IF(Source!BA86&lt;&gt;0,Source!BA86,1)*Source!I86),2)+ROUND((Source!CS86/IF(Source!BS86&lt;&gt;0,Source!BS86,1)*Source!I86),2)),2)</f>
        <v>0.27</v>
      </c>
    </row>
    <row r="129" spans="1:25" ht="15">
      <c r="A129" s="14"/>
      <c r="B129" s="14"/>
      <c r="C129" s="14" t="s">
        <v>74</v>
      </c>
      <c r="D129" s="17" t="s">
        <v>393</v>
      </c>
      <c r="E129" s="14"/>
      <c r="F129" s="16">
        <f>Source!CA86</f>
        <v>95</v>
      </c>
      <c r="G129" s="14" t="str">
        <f>Source!FU86</f>
        <v>*0.85</v>
      </c>
      <c r="H129" s="16">
        <f>Y129</f>
        <v>0.15</v>
      </c>
      <c r="I129" s="14" t="str">
        <f>Source!FW86</f>
        <v>((*0.8))</v>
      </c>
      <c r="J129" s="16">
        <f>Source!AU86</f>
        <v>65</v>
      </c>
      <c r="K129" s="16">
        <f>Source!Y86</f>
        <v>2.22</v>
      </c>
      <c r="L129" s="14"/>
      <c r="Y129">
        <f>ROUND((Source!FY86/100)*(ROUND((Source!CT86/IF(Source!BA86&lt;&gt;0,Source!BA86,1)*Source!I86),2)+ROUND((Source!CS86/IF(Source!BS86&lt;&gt;0,Source!BS86,1)*Source!I86),2)),2)</f>
        <v>0.15</v>
      </c>
    </row>
    <row r="130" spans="1:12" ht="15">
      <c r="A130" s="34"/>
      <c r="B130" s="34"/>
      <c r="C130" s="34" t="s">
        <v>394</v>
      </c>
      <c r="D130" s="35" t="s">
        <v>395</v>
      </c>
      <c r="E130" s="34">
        <f>Source!AQ86</f>
        <v>0.09</v>
      </c>
      <c r="F130" s="34"/>
      <c r="G130" s="36" t="str">
        <f>Source!DI86</f>
        <v>)*2</v>
      </c>
      <c r="H130" s="34"/>
      <c r="I130" s="34"/>
      <c r="J130" s="34"/>
      <c r="K130" s="34"/>
      <c r="L130" s="37">
        <f>Source!U86</f>
        <v>0.019799999999999998</v>
      </c>
    </row>
    <row r="131" spans="1:23" ht="15.75">
      <c r="A131" s="14"/>
      <c r="B131" s="14"/>
      <c r="C131" s="14"/>
      <c r="D131" s="14"/>
      <c r="E131" s="14"/>
      <c r="F131" s="14"/>
      <c r="G131" s="14"/>
      <c r="H131" s="38">
        <f>ROUND((Source!CT86/IF(Source!BA86&lt;&gt;0,Source!BA86,1)*Source!I86),2)+ROUND((Source!CR86/IF(Source!BB86&lt;&gt;0,Source!BB86,1)*Source!I86),2)+H127+H128+H129</f>
        <v>1427.31</v>
      </c>
      <c r="I131" s="39"/>
      <c r="J131" s="39"/>
      <c r="K131" s="38">
        <f>Source!S86+Source!Q86+K127+K128+K129</f>
        <v>6771.89</v>
      </c>
      <c r="L131" s="38">
        <f>Source!U86</f>
        <v>0.019799999999999998</v>
      </c>
      <c r="M131" s="33">
        <f>H131</f>
        <v>1427.31</v>
      </c>
      <c r="N131">
        <f>ROUND((Source!CT86/IF(Source!BA86&lt;&gt;0,Source!BA86,1)*Source!I86),2)</f>
        <v>0.19</v>
      </c>
      <c r="O131">
        <f>IF(Source!BI86=1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1427.3221435</v>
      </c>
      <c r="P131">
        <f>IF(Source!BI86=2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Q131">
        <f>IF(Source!BI86=3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R131">
        <f>IF(Source!BI86=4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S131">
        <f>IF(Source!BI86=1,Source!O86+Source!X86+Source!Y86,0)</f>
        <v>6771.89</v>
      </c>
      <c r="T131">
        <f>IF(Source!BI86=2,Source!O86+Source!X86+Source!Y86,0)</f>
        <v>0</v>
      </c>
      <c r="U131">
        <f>IF(Source!BI86=3,Source!O86+Source!X86+Source!Y86,0)</f>
        <v>0</v>
      </c>
      <c r="V131">
        <f>IF(Source!BI86=4,Source!O86+Source!X86+Source!Y86,0)</f>
        <v>0</v>
      </c>
      <c r="W131">
        <f>ROUND((Source!CS86/IF(Source!BS86&lt;&gt;0,Source!BS86,1)*Source!I86),2)</f>
        <v>0</v>
      </c>
    </row>
    <row r="133" spans="3:23" s="39" customFormat="1" ht="15.75">
      <c r="C133" s="39" t="s">
        <v>176</v>
      </c>
      <c r="G133" s="107">
        <f>SUM(M105:M132)</f>
        <v>10401.74</v>
      </c>
      <c r="H133" s="107"/>
      <c r="J133" s="107">
        <f>ROUND(Source!AB81+Source!AK81+Source!AL81+Source!AE81*0/100,2)</f>
        <v>66668</v>
      </c>
      <c r="K133" s="107"/>
      <c r="L133" s="38">
        <f>Source!AH81</f>
        <v>8.22</v>
      </c>
      <c r="N133" s="38">
        <f aca="true" t="shared" si="2" ref="N133:W133">SUM(N105:N132)</f>
        <v>73.00999999999999</v>
      </c>
      <c r="O133" s="38">
        <f t="shared" si="2"/>
        <v>10401.762643749998</v>
      </c>
      <c r="P133" s="38">
        <f t="shared" si="2"/>
        <v>0</v>
      </c>
      <c r="Q133" s="38">
        <f t="shared" si="2"/>
        <v>0</v>
      </c>
      <c r="R133" s="38">
        <f t="shared" si="2"/>
        <v>0</v>
      </c>
      <c r="S133" s="38">
        <f t="shared" si="2"/>
        <v>66668</v>
      </c>
      <c r="T133" s="38">
        <f t="shared" si="2"/>
        <v>0</v>
      </c>
      <c r="U133" s="38">
        <f t="shared" si="2"/>
        <v>0</v>
      </c>
      <c r="V133" s="38">
        <f t="shared" si="2"/>
        <v>0</v>
      </c>
      <c r="W133" s="39">
        <f t="shared" si="2"/>
        <v>75.24</v>
      </c>
    </row>
    <row r="135" spans="3:30" ht="18">
      <c r="C135" s="26" t="s">
        <v>390</v>
      </c>
      <c r="D135" s="106" t="str">
        <f>IF(Source!C12="1",Source!F104,Source!G104)</f>
        <v>Ремонт внутриквартальной дороги</v>
      </c>
      <c r="E135" s="108"/>
      <c r="F135" s="108"/>
      <c r="G135" s="108"/>
      <c r="H135" s="108"/>
      <c r="I135" s="108"/>
      <c r="J135" s="108"/>
      <c r="K135" s="108"/>
      <c r="L135" s="108"/>
      <c r="AD135" s="28" t="str">
        <f>IF(Source!C12="1",Source!F104,Source!G104)</f>
        <v>Ремонт внутриквартальной дороги</v>
      </c>
    </row>
    <row r="137" spans="1:12" ht="45">
      <c r="A137" s="29" t="str">
        <f>Source!E108</f>
        <v>11</v>
      </c>
      <c r="B137" s="29" t="str">
        <f>Source!F108</f>
        <v>27-04-001-4</v>
      </c>
      <c r="C137" s="30" t="str">
        <f>Source!G108</f>
        <v>Устройство подстилающих и выравнивающих слоев оснований из щебня</v>
      </c>
      <c r="D137" s="31" t="str">
        <f>Source!H108</f>
        <v>100 м3</v>
      </c>
      <c r="E137" s="14">
        <f>ROUND(Source!I108,6)</f>
        <v>0.765</v>
      </c>
      <c r="F137" s="16">
        <f>IF(Source!AK108&lt;&gt;0,Source!AK108,Source!AL108+Source!AM108+Source!AO108)</f>
        <v>3578.4199999999996</v>
      </c>
      <c r="G137" s="14"/>
      <c r="H137" s="14"/>
      <c r="I137" s="32" t="str">
        <f>IF(Source!BO108&lt;&gt;"",Source!BO108,"")</f>
        <v>27-04-001-4</v>
      </c>
      <c r="J137" s="14"/>
      <c r="K137" s="14"/>
      <c r="L137" s="14"/>
    </row>
    <row r="138" spans="1:12" ht="15">
      <c r="A138" s="14"/>
      <c r="B138" s="14"/>
      <c r="C138" s="14" t="s">
        <v>391</v>
      </c>
      <c r="D138" s="14"/>
      <c r="E138" s="14"/>
      <c r="F138" s="16">
        <f>Source!AO108</f>
        <v>195.7</v>
      </c>
      <c r="G138" s="32">
        <f>Source!DG108</f>
      </c>
      <c r="H138" s="16">
        <f>ROUND((Source!CT108/IF(Source!BA108&lt;&gt;0,Source!BA108,1)*Source!I108),2)</f>
        <v>149.71</v>
      </c>
      <c r="I138" s="14"/>
      <c r="J138" s="14">
        <f>Source!BA108</f>
        <v>17.84</v>
      </c>
      <c r="K138" s="16">
        <f>Source!S108</f>
        <v>2670.84</v>
      </c>
      <c r="L138" s="14"/>
    </row>
    <row r="139" spans="1:12" ht="15">
      <c r="A139" s="14"/>
      <c r="B139" s="14"/>
      <c r="C139" s="14" t="s">
        <v>58</v>
      </c>
      <c r="D139" s="14"/>
      <c r="E139" s="14"/>
      <c r="F139" s="16">
        <f>Source!AM108</f>
        <v>3365.64</v>
      </c>
      <c r="G139" s="32">
        <f>Source!DE108</f>
      </c>
      <c r="H139" s="16">
        <f>ROUND((Source!CR108/IF(Source!BB108&lt;&gt;0,Source!BB108,1)*Source!I108),2)</f>
        <v>2574.71</v>
      </c>
      <c r="I139" s="14"/>
      <c r="J139" s="14">
        <f>Source!BB108</f>
        <v>6</v>
      </c>
      <c r="K139" s="16">
        <f>Source!Q108</f>
        <v>15448.29</v>
      </c>
      <c r="L139" s="14"/>
    </row>
    <row r="140" spans="1:12" ht="15">
      <c r="A140" s="14"/>
      <c r="B140" s="14"/>
      <c r="C140" s="14" t="s">
        <v>396</v>
      </c>
      <c r="D140" s="14"/>
      <c r="E140" s="14"/>
      <c r="F140" s="16">
        <f>Source!AN108</f>
        <v>280.98</v>
      </c>
      <c r="G140" s="32">
        <f>Source!DF108</f>
      </c>
      <c r="H140" s="40">
        <f>ROUND((Source!CS108/IF(Source!BS108&lt;&gt;0,Source!BS108,1)*Source!I108),2)</f>
        <v>214.95</v>
      </c>
      <c r="I140" s="14"/>
      <c r="J140" s="14">
        <f>Source!BS108</f>
        <v>17.84</v>
      </c>
      <c r="K140" s="40">
        <f>Source!R108</f>
        <v>3834.7</v>
      </c>
      <c r="L140" s="14"/>
    </row>
    <row r="141" spans="1:12" ht="15">
      <c r="A141" s="14"/>
      <c r="B141" s="14"/>
      <c r="C141" s="14" t="s">
        <v>397</v>
      </c>
      <c r="D141" s="14"/>
      <c r="E141" s="14"/>
      <c r="F141" s="16">
        <f>Source!AL108</f>
        <v>17.08</v>
      </c>
      <c r="G141" s="32">
        <f>Source!DD108</f>
      </c>
      <c r="H141" s="16">
        <f>ROUND((Source!CQ108/IF(Source!BC108&lt;&gt;0,Source!BC108,1)*Source!I108),2)</f>
        <v>13.07</v>
      </c>
      <c r="I141" s="14"/>
      <c r="J141" s="14">
        <f>Source!BC108</f>
        <v>4.95</v>
      </c>
      <c r="K141" s="16">
        <f>Source!P108</f>
        <v>64.68</v>
      </c>
      <c r="L141" s="14"/>
    </row>
    <row r="142" spans="1:24" ht="15">
      <c r="A142" s="14"/>
      <c r="B142" s="14"/>
      <c r="C142" s="14" t="s">
        <v>392</v>
      </c>
      <c r="D142" s="17" t="s">
        <v>393</v>
      </c>
      <c r="E142" s="14"/>
      <c r="F142" s="16">
        <f>Source!BZ108</f>
        <v>142</v>
      </c>
      <c r="G142" s="14"/>
      <c r="H142" s="16">
        <f>X142+X145</f>
        <v>517.82</v>
      </c>
      <c r="I142" s="14" t="str">
        <f>Source!FV108</f>
        <v>((*0.85))</v>
      </c>
      <c r="J142" s="16">
        <f>Source!AT108</f>
        <v>121</v>
      </c>
      <c r="K142" s="16">
        <f>Source!X108+Source!X109</f>
        <v>7871.7</v>
      </c>
      <c r="L142" s="14"/>
      <c r="X142">
        <f>ROUND((Source!FX108/100)*(ROUND((Source!CT108/IF(Source!BA108&lt;&gt;0,Source!BA108,1)*Source!I108),2)+ROUND((Source!CS108/IF(Source!BS108&lt;&gt;0,Source!BS108,1)*Source!I108),2)),2)</f>
        <v>517.82</v>
      </c>
    </row>
    <row r="143" spans="1:25" ht="15">
      <c r="A143" s="14"/>
      <c r="B143" s="14"/>
      <c r="C143" s="14" t="s">
        <v>74</v>
      </c>
      <c r="D143" s="17" t="s">
        <v>393</v>
      </c>
      <c r="E143" s="14"/>
      <c r="F143" s="16">
        <f>Source!CA108</f>
        <v>95</v>
      </c>
      <c r="G143" s="14" t="str">
        <f>Source!FU108</f>
        <v>*0.85</v>
      </c>
      <c r="H143" s="16">
        <f>Y143+Y145</f>
        <v>294.46</v>
      </c>
      <c r="I143" s="14" t="str">
        <f>Source!FW108</f>
        <v>((*0.8))</v>
      </c>
      <c r="J143" s="16">
        <f>Source!AU108</f>
        <v>65</v>
      </c>
      <c r="K143" s="16">
        <f>Source!Y108+Source!Y109</f>
        <v>4228.6</v>
      </c>
      <c r="L143" s="14"/>
      <c r="Y143">
        <f>ROUND((Source!FY108/100)*(ROUND((Source!CT108/IF(Source!BA108&lt;&gt;0,Source!BA108,1)*Source!I108),2)+ROUND((Source!CS108/IF(Source!BS108&lt;&gt;0,Source!BS108,1)*Source!I108),2)),2)</f>
        <v>294.46</v>
      </c>
    </row>
    <row r="144" spans="1:12" ht="15">
      <c r="A144" s="14"/>
      <c r="B144" s="14"/>
      <c r="C144" s="14" t="s">
        <v>394</v>
      </c>
      <c r="D144" s="17" t="s">
        <v>395</v>
      </c>
      <c r="E144" s="14">
        <f>Source!AQ108</f>
        <v>24.19</v>
      </c>
      <c r="F144" s="14"/>
      <c r="G144" s="32">
        <f>Source!DI108</f>
      </c>
      <c r="H144" s="14"/>
      <c r="I144" s="14"/>
      <c r="J144" s="14"/>
      <c r="K144" s="14"/>
      <c r="L144" s="16">
        <f>Source!U108</f>
        <v>18.50535</v>
      </c>
    </row>
    <row r="145" spans="1:25" ht="45">
      <c r="A145" s="42"/>
      <c r="B145" s="42" t="str">
        <f>Source!F109</f>
        <v>408-0393</v>
      </c>
      <c r="C145" s="43" t="str">
        <f>Source!G109</f>
        <v>Щебень известняковый для строительных работ марки 600 фракции 40-70 мм</v>
      </c>
      <c r="D145" s="44" t="str">
        <f>Source!H109</f>
        <v>м3</v>
      </c>
      <c r="E145" s="34">
        <f>ROUND(Source!I109,6)</f>
        <v>95.625</v>
      </c>
      <c r="F145" s="37">
        <f>IF(Source!AL109=0,Source!AK109,Source!AL109)</f>
        <v>98.6</v>
      </c>
      <c r="G145" s="36">
        <f>Source!DD109</f>
      </c>
      <c r="H145" s="45">
        <f>ROUND((Source!CR109/IF(Source!BB109&lt;&gt;0,Source!BB109,1)*Source!I109),2)+ROUND((Source!CQ109/IF(Source!BC109&lt;&gt;0,Source!BC109,1)*Source!I109),2)+ROUND((Source!CT109/IF(Source!BA109&lt;&gt;0,Source!BA109,1)*Source!I109),2)</f>
        <v>9428.63</v>
      </c>
      <c r="I145" s="36" t="str">
        <f>IF(Source!BO109&lt;&gt;"",Source!BO109,"")</f>
        <v>408-0393</v>
      </c>
      <c r="J145" s="34">
        <f>Source!BC109</f>
        <v>10.79</v>
      </c>
      <c r="K145" s="37">
        <f>Source!O109</f>
        <v>101734.86</v>
      </c>
      <c r="L145" s="34"/>
      <c r="N145">
        <f>ROUND((Source!CT109/IF(Source!BA109&lt;&gt;0,Source!BA109,1)*Source!I109),2)</f>
        <v>0</v>
      </c>
      <c r="O145">
        <f>IF(Source!BI109=1,(ROUND((Source!CR109/IF(Source!BB109&lt;&gt;0,Source!BB109,1)*Source!I109),2)+ROUND((Source!CQ109/IF(Source!BC109&lt;&gt;0,Source!BC109,1)*Source!I109),2)+ROUND((Source!CT109/IF(Source!BA109&lt;&gt;0,Source!BA109,1)*Source!I109),2)),0)</f>
        <v>9428.63</v>
      </c>
      <c r="P145">
        <f>IF(Source!BI109=2,(ROUND((Source!CR109/IF(Source!BB109&lt;&gt;0,Source!BB109,1)*Source!I109),2)+ROUND((Source!CQ109/IF(Source!BC109&lt;&gt;0,Source!BC109,1)*Source!I109),2)+ROUND((Source!CT109/IF(Source!BA109&lt;&gt;0,Source!BA109,1)*Source!I109),2)),0)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Q145">
        <f>IF(Source!BI109=3,(ROUND((Source!CR109/IF(Source!BB109&lt;&gt;0,Source!BB109,1)*Source!I109),2)+ROUND((Source!CQ109/IF(Source!BC109&lt;&gt;0,Source!BC109,1)*Source!I109),2)+ROUND((Source!CT109/IF(Source!BA109&lt;&gt;0,Source!BA109,1)*Source!I109),2)),0)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R145">
        <f>IF(Source!BI109=4,(ROUND((Source!CR109/IF(Source!BB109&lt;&gt;0,Source!BB109,1)*Source!I109),2)+ROUND((Source!CQ109/IF(Source!BC109&lt;&gt;0,Source!BC109,1)*Source!I109),2)+ROUND((Source!CT109/IF(Source!BA109&lt;&gt;0,Source!BA109,1)*Source!I109),2)),0)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S145">
        <f>IF(Source!BI109=1,Source!O109+Source!X109+Source!Y109,0)</f>
        <v>101734.86</v>
      </c>
      <c r="T145">
        <f>IF(Source!BI109=2,Source!O109+Source!X109+Source!Y109,0)</f>
        <v>0</v>
      </c>
      <c r="U145">
        <f>IF(Source!BI109=3,Source!O109+Source!X109+Source!Y109,0)</f>
        <v>0</v>
      </c>
      <c r="V145">
        <f>IF(Source!BI109=4,Source!O109+Source!X109+Source!Y109,0)</f>
        <v>0</v>
      </c>
      <c r="W145">
        <f>ROUND((Source!CS109/IF(Source!BS109&lt;&gt;0,Source!BS109,1)*Source!I109),2)</f>
        <v>0</v>
      </c>
      <c r="X145">
        <f>ROUND((Source!FX109/100)*(ROUND((Source!CT109/IF(Source!BA109&lt;&gt;0,Source!BA109,1)*Source!I109),2)+ROUND((Source!CS109/IF(Source!BS109&lt;&gt;0,Source!BS109,1)*Source!I109),2)),2)</f>
        <v>0</v>
      </c>
      <c r="Y145">
        <f>ROUND((Source!FY109/100)*(ROUND((Source!CT109/IF(Source!BA109&lt;&gt;0,Source!BA109,1)*Source!I109),2)+ROUND((Source!CS109/IF(Source!BS109&lt;&gt;0,Source!BS109,1)*Source!I109),2)),2)</f>
        <v>0</v>
      </c>
    </row>
    <row r="146" spans="1:23" ht="15.75">
      <c r="A146" s="14"/>
      <c r="B146" s="14"/>
      <c r="C146" s="14"/>
      <c r="D146" s="14"/>
      <c r="E146" s="14"/>
      <c r="F146" s="14"/>
      <c r="G146" s="14"/>
      <c r="H146" s="38">
        <f>ROUND((Source!CT108/IF(Source!BA108&lt;&gt;0,Source!BA108,1)*Source!I108),2)+ROUND((Source!CR108/IF(Source!BB108&lt;&gt;0,Source!BB108,1)*Source!I108),2)+H141+H142+H143+H145</f>
        <v>12978.4</v>
      </c>
      <c r="I146" s="39"/>
      <c r="J146" s="39"/>
      <c r="K146" s="38">
        <f>Source!S108+Source!Q108+K141+K142+K143+K145</f>
        <v>132018.97</v>
      </c>
      <c r="L146" s="38">
        <f>Source!U108</f>
        <v>18.50535</v>
      </c>
      <c r="M146" s="33">
        <f>H146</f>
        <v>12978.4</v>
      </c>
      <c r="N146">
        <f>ROUND((Source!CT108/IF(Source!BA108&lt;&gt;0,Source!BA108,1)*Source!I108),2)</f>
        <v>149.71</v>
      </c>
      <c r="O146">
        <f>IF(Source!BI108=1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3549.7718955000005</v>
      </c>
      <c r="P146">
        <f>IF(Source!BI108=2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Q146">
        <f>IF(Source!BI108=3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R146">
        <f>IF(Source!BI108=4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S146">
        <f>IF(Source!BI108=1,Source!O108+Source!X108+Source!Y108,0)</f>
        <v>30284.11</v>
      </c>
      <c r="T146">
        <f>IF(Source!BI108=2,Source!O108+Source!X108+Source!Y108,0)</f>
        <v>0</v>
      </c>
      <c r="U146">
        <f>IF(Source!BI108=3,Source!O108+Source!X108+Source!Y108,0)</f>
        <v>0</v>
      </c>
      <c r="V146">
        <f>IF(Source!BI108=4,Source!O108+Source!X108+Source!Y108,0)</f>
        <v>0</v>
      </c>
      <c r="W146">
        <f>ROUND((Source!CS108/IF(Source!BS108&lt;&gt;0,Source!BS108,1)*Source!I108),2)</f>
        <v>214.95</v>
      </c>
    </row>
    <row r="147" spans="1:12" ht="90">
      <c r="A147" s="29" t="str">
        <f>Source!E110</f>
        <v>12</v>
      </c>
      <c r="B147" s="29" t="str">
        <f>Source!F110</f>
        <v>27-06-020-1</v>
      </c>
      <c r="C147" s="30" t="str">
        <f>Source!G110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47" s="31" t="str">
        <f>Source!H110</f>
        <v>1000 м2</v>
      </c>
      <c r="E147" s="14">
        <f>ROUND(Source!I110,6)</f>
        <v>0.51</v>
      </c>
      <c r="F147" s="16">
        <f>IF(Source!AK110&lt;&gt;0,Source!AK110,Source!AL110+Source!AM110+Source!AO110)</f>
        <v>54732.409999999996</v>
      </c>
      <c r="G147" s="14"/>
      <c r="H147" s="14"/>
      <c r="I147" s="32" t="str">
        <f>IF(Source!BO110&lt;&gt;"",Source!BO110,"")</f>
        <v>27-06-020-1</v>
      </c>
      <c r="J147" s="14"/>
      <c r="K147" s="14"/>
      <c r="L147" s="14"/>
    </row>
    <row r="148" spans="1:12" ht="15">
      <c r="A148" s="14"/>
      <c r="B148" s="14"/>
      <c r="C148" s="14" t="s">
        <v>391</v>
      </c>
      <c r="D148" s="14"/>
      <c r="E148" s="14"/>
      <c r="F148" s="16">
        <f>Source!AO110</f>
        <v>368.45</v>
      </c>
      <c r="G148" s="32">
        <f>Source!DG110</f>
      </c>
      <c r="H148" s="16">
        <f>ROUND((Source!CT110/IF(Source!BA110&lt;&gt;0,Source!BA110,1)*Source!I110),2)</f>
        <v>187.91</v>
      </c>
      <c r="I148" s="14"/>
      <c r="J148" s="14">
        <f>Source!BA110</f>
        <v>17.84</v>
      </c>
      <c r="K148" s="16">
        <f>Source!S110</f>
        <v>3352.31</v>
      </c>
      <c r="L148" s="14"/>
    </row>
    <row r="149" spans="1:12" ht="15">
      <c r="A149" s="14"/>
      <c r="B149" s="14"/>
      <c r="C149" s="14" t="s">
        <v>58</v>
      </c>
      <c r="D149" s="14"/>
      <c r="E149" s="14"/>
      <c r="F149" s="16">
        <f>Source!AM110</f>
        <v>2386.22</v>
      </c>
      <c r="G149" s="32">
        <f>Source!DE110</f>
      </c>
      <c r="H149" s="16">
        <f>ROUND((Source!CR110/IF(Source!BB110&lt;&gt;0,Source!BB110,1)*Source!I110),2)</f>
        <v>1216.97</v>
      </c>
      <c r="I149" s="14"/>
      <c r="J149" s="14">
        <f>Source!BB110</f>
        <v>4.93</v>
      </c>
      <c r="K149" s="16">
        <f>Source!Q110</f>
        <v>5999.67</v>
      </c>
      <c r="L149" s="14"/>
    </row>
    <row r="150" spans="1:12" ht="15">
      <c r="A150" s="14"/>
      <c r="B150" s="14"/>
      <c r="C150" s="14" t="s">
        <v>396</v>
      </c>
      <c r="D150" s="14"/>
      <c r="E150" s="14"/>
      <c r="F150" s="16">
        <f>Source!AN110</f>
        <v>262.54</v>
      </c>
      <c r="G150" s="32">
        <f>Source!DF110</f>
      </c>
      <c r="H150" s="40">
        <f>ROUND((Source!CS110/IF(Source!BS110&lt;&gt;0,Source!BS110,1)*Source!I110),2)</f>
        <v>133.9</v>
      </c>
      <c r="I150" s="14"/>
      <c r="J150" s="14">
        <f>Source!BS110</f>
        <v>17.84</v>
      </c>
      <c r="K150" s="40">
        <f>Source!R110</f>
        <v>2388.69</v>
      </c>
      <c r="L150" s="14"/>
    </row>
    <row r="151" spans="1:12" ht="15">
      <c r="A151" s="14"/>
      <c r="B151" s="14"/>
      <c r="C151" s="14" t="s">
        <v>397</v>
      </c>
      <c r="D151" s="14"/>
      <c r="E151" s="14"/>
      <c r="F151" s="16">
        <f>Source!AL110</f>
        <v>51977.74</v>
      </c>
      <c r="G151" s="32">
        <f>Source!DD110</f>
      </c>
      <c r="H151" s="16">
        <f>ROUND((Source!CQ110/IF(Source!BC110&lt;&gt;0,Source!BC110,1)*Source!I110),2)</f>
        <v>26508.65</v>
      </c>
      <c r="I151" s="14"/>
      <c r="J151" s="14">
        <f>Source!BC110</f>
        <v>4.74</v>
      </c>
      <c r="K151" s="16">
        <f>Source!P110</f>
        <v>125650.99</v>
      </c>
      <c r="L151" s="14"/>
    </row>
    <row r="152" spans="1:24" ht="15">
      <c r="A152" s="14"/>
      <c r="B152" s="14"/>
      <c r="C152" s="14" t="s">
        <v>392</v>
      </c>
      <c r="D152" s="17" t="s">
        <v>393</v>
      </c>
      <c r="E152" s="14"/>
      <c r="F152" s="16">
        <f>Source!BZ110</f>
        <v>142</v>
      </c>
      <c r="G152" s="14"/>
      <c r="H152" s="16">
        <f>X152</f>
        <v>456.97</v>
      </c>
      <c r="I152" s="14" t="str">
        <f>Source!FV110</f>
        <v>((*0.85))</v>
      </c>
      <c r="J152" s="16">
        <f>Source!AT110</f>
        <v>121</v>
      </c>
      <c r="K152" s="16">
        <f>Source!X110</f>
        <v>6946.61</v>
      </c>
      <c r="L152" s="14"/>
      <c r="X152">
        <f>ROUND((Source!FX110/100)*(ROUND((Source!CT110/IF(Source!BA110&lt;&gt;0,Source!BA110,1)*Source!I110),2)+ROUND((Source!CS110/IF(Source!BS110&lt;&gt;0,Source!BS110,1)*Source!I110),2)),2)</f>
        <v>456.97</v>
      </c>
    </row>
    <row r="153" spans="1:25" ht="15">
      <c r="A153" s="14"/>
      <c r="B153" s="14"/>
      <c r="C153" s="14" t="s">
        <v>74</v>
      </c>
      <c r="D153" s="17" t="s">
        <v>393</v>
      </c>
      <c r="E153" s="14"/>
      <c r="F153" s="16">
        <f>Source!CA110</f>
        <v>95</v>
      </c>
      <c r="G153" s="14" t="str">
        <f>Source!FU110</f>
        <v>*0.85</v>
      </c>
      <c r="H153" s="16">
        <f>Y153</f>
        <v>259.86</v>
      </c>
      <c r="I153" s="14" t="str">
        <f>Source!FW110</f>
        <v>((*0.8))</v>
      </c>
      <c r="J153" s="16">
        <f>Source!AU110</f>
        <v>65</v>
      </c>
      <c r="K153" s="16">
        <f>Source!Y110</f>
        <v>3731.65</v>
      </c>
      <c r="L153" s="14"/>
      <c r="Y153">
        <f>ROUND((Source!FY110/100)*(ROUND((Source!CT110/IF(Source!BA110&lt;&gt;0,Source!BA110,1)*Source!I110),2)+ROUND((Source!CS110/IF(Source!BS110&lt;&gt;0,Source!BS110,1)*Source!I110),2)),2)</f>
        <v>259.86</v>
      </c>
    </row>
    <row r="154" spans="1:12" ht="15">
      <c r="A154" s="34"/>
      <c r="B154" s="34"/>
      <c r="C154" s="34" t="s">
        <v>394</v>
      </c>
      <c r="D154" s="35" t="s">
        <v>395</v>
      </c>
      <c r="E154" s="34">
        <f>Source!AQ110</f>
        <v>38.3</v>
      </c>
      <c r="F154" s="34"/>
      <c r="G154" s="36">
        <f>Source!DI110</f>
      </c>
      <c r="H154" s="34"/>
      <c r="I154" s="34"/>
      <c r="J154" s="34"/>
      <c r="K154" s="34"/>
      <c r="L154" s="37">
        <f>Source!U110</f>
        <v>19.532999999999998</v>
      </c>
    </row>
    <row r="155" spans="1:23" ht="15.75">
      <c r="A155" s="14"/>
      <c r="B155" s="14"/>
      <c r="C155" s="14"/>
      <c r="D155" s="14"/>
      <c r="E155" s="14"/>
      <c r="F155" s="14"/>
      <c r="G155" s="14"/>
      <c r="H155" s="38">
        <f>ROUND((Source!CT110/IF(Source!BA110&lt;&gt;0,Source!BA110,1)*Source!I110),2)+ROUND((Source!CR110/IF(Source!BB110&lt;&gt;0,Source!BB110,1)*Source!I110),2)+H151+H152+H153</f>
        <v>28630.360000000004</v>
      </c>
      <c r="I155" s="39"/>
      <c r="J155" s="39"/>
      <c r="K155" s="38">
        <f>Source!S110+Source!Q110+K151+K152+K153</f>
        <v>145681.22999999998</v>
      </c>
      <c r="L155" s="38">
        <f>Source!U110</f>
        <v>19.532999999999998</v>
      </c>
      <c r="M155" s="33">
        <f>H155</f>
        <v>28630.360000000004</v>
      </c>
      <c r="N155">
        <f>ROUND((Source!CT110/IF(Source!BA110&lt;&gt;0,Source!BA110,1)*Source!I110),2)</f>
        <v>187.91</v>
      </c>
      <c r="O155">
        <f>IF(Source!BI110=1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28630.34951475</v>
      </c>
      <c r="P155">
        <f>IF(Source!BI110=2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Q155">
        <f>IF(Source!BI110=3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R155">
        <f>IF(Source!BI110=4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S155">
        <f>IF(Source!BI110=1,Source!O110+Source!X110+Source!Y110,0)</f>
        <v>145681.22999999998</v>
      </c>
      <c r="T155">
        <f>IF(Source!BI110=2,Source!O110+Source!X110+Source!Y110,0)</f>
        <v>0</v>
      </c>
      <c r="U155">
        <f>IF(Source!BI110=3,Source!O110+Source!X110+Source!Y110,0)</f>
        <v>0</v>
      </c>
      <c r="V155">
        <f>IF(Source!BI110=4,Source!O110+Source!X110+Source!Y110,0)</f>
        <v>0</v>
      </c>
      <c r="W155">
        <f>ROUND((Source!CS110/IF(Source!BS110&lt;&gt;0,Source!BS110,1)*Source!I110),2)</f>
        <v>133.9</v>
      </c>
    </row>
    <row r="156" spans="1:12" ht="60">
      <c r="A156" s="29" t="str">
        <f>Source!E111</f>
        <v>13</v>
      </c>
      <c r="B156" s="29" t="str">
        <f>Source!F111</f>
        <v>27-06-021-1</v>
      </c>
      <c r="C156" s="30" t="str">
        <f>Source!G111</f>
        <v>На каждые 0,5 см изменения толщины покрытия добавлять или исключать к расценке 27-06-020-01</v>
      </c>
      <c r="D156" s="31" t="str">
        <f>Source!H111</f>
        <v>1000 м2</v>
      </c>
      <c r="E156" s="14">
        <f>ROUND(Source!I111,6)</f>
        <v>0.51</v>
      </c>
      <c r="F156" s="16">
        <f>IF(Source!AK111&lt;&gt;0,Source!AK111,Source!AL111+Source!AM111+Source!AO111)</f>
        <v>6485.89</v>
      </c>
      <c r="G156" s="14"/>
      <c r="H156" s="14"/>
      <c r="I156" s="32" t="str">
        <f>IF(Source!BO111&lt;&gt;"",Source!BO111,"")</f>
        <v>27-06-021-1</v>
      </c>
      <c r="J156" s="14"/>
      <c r="K156" s="14"/>
      <c r="L156" s="14"/>
    </row>
    <row r="157" spans="1:12" ht="15">
      <c r="A157" s="14"/>
      <c r="B157" s="14"/>
      <c r="C157" s="14" t="s">
        <v>391</v>
      </c>
      <c r="D157" s="14"/>
      <c r="E157" s="14"/>
      <c r="F157" s="16">
        <f>Source!AO111</f>
        <v>0.87</v>
      </c>
      <c r="G157" s="32" t="str">
        <f>Source!DG111</f>
        <v>)*2</v>
      </c>
      <c r="H157" s="16">
        <f>ROUND((Source!CT111/IF(Source!BA111&lt;&gt;0,Source!BA111,1)*Source!I111),2)</f>
        <v>0.89</v>
      </c>
      <c r="I157" s="14"/>
      <c r="J157" s="14">
        <f>Source!BA111</f>
        <v>17.84</v>
      </c>
      <c r="K157" s="16">
        <f>Source!S111</f>
        <v>15.83</v>
      </c>
      <c r="L157" s="14"/>
    </row>
    <row r="158" spans="1:12" ht="15">
      <c r="A158" s="14"/>
      <c r="B158" s="14"/>
      <c r="C158" s="14" t="s">
        <v>58</v>
      </c>
      <c r="D158" s="14"/>
      <c r="E158" s="14"/>
      <c r="F158" s="16">
        <f>Source!AM111</f>
        <v>3.1</v>
      </c>
      <c r="G158" s="32" t="str">
        <f>Source!DE111</f>
        <v>)*2</v>
      </c>
      <c r="H158" s="16">
        <f>ROUND((Source!CR111/IF(Source!BB111&lt;&gt;0,Source!BB111,1)*Source!I111),2)</f>
        <v>3.16</v>
      </c>
      <c r="I158" s="14"/>
      <c r="J158" s="14">
        <f>Source!BB111</f>
        <v>4.07</v>
      </c>
      <c r="K158" s="16">
        <f>Source!Q111</f>
        <v>12.87</v>
      </c>
      <c r="L158" s="14"/>
    </row>
    <row r="159" spans="1:12" ht="15">
      <c r="A159" s="14"/>
      <c r="B159" s="14"/>
      <c r="C159" s="14" t="s">
        <v>397</v>
      </c>
      <c r="D159" s="14"/>
      <c r="E159" s="14"/>
      <c r="F159" s="16">
        <f>Source!AL111</f>
        <v>6481.92</v>
      </c>
      <c r="G159" s="32" t="str">
        <f>Source!DD111</f>
        <v>)*2</v>
      </c>
      <c r="H159" s="16">
        <f>ROUND((Source!CQ111/IF(Source!BC111&lt;&gt;0,Source!BC111,1)*Source!I111),2)</f>
        <v>6611.56</v>
      </c>
      <c r="I159" s="14"/>
      <c r="J159" s="14">
        <f>Source!BC111</f>
        <v>4.74</v>
      </c>
      <c r="K159" s="16">
        <f>Source!P111</f>
        <v>31338.79</v>
      </c>
      <c r="L159" s="14"/>
    </row>
    <row r="160" spans="1:24" ht="15">
      <c r="A160" s="14"/>
      <c r="B160" s="14"/>
      <c r="C160" s="14" t="s">
        <v>392</v>
      </c>
      <c r="D160" s="17" t="s">
        <v>393</v>
      </c>
      <c r="E160" s="14"/>
      <c r="F160" s="16">
        <f>Source!BZ111</f>
        <v>142</v>
      </c>
      <c r="G160" s="14"/>
      <c r="H160" s="16">
        <f>X160</f>
        <v>1.26</v>
      </c>
      <c r="I160" s="14" t="str">
        <f>Source!FV111</f>
        <v>((*0.85))</v>
      </c>
      <c r="J160" s="16">
        <f>Source!AT111</f>
        <v>121</v>
      </c>
      <c r="K160" s="16">
        <f>Source!X111</f>
        <v>19.15</v>
      </c>
      <c r="L160" s="14"/>
      <c r="X160">
        <f>ROUND((Source!FX111/100)*(ROUND((Source!CT111/IF(Source!BA111&lt;&gt;0,Source!BA111,1)*Source!I111),2)+ROUND((Source!CS111/IF(Source!BS111&lt;&gt;0,Source!BS111,1)*Source!I111),2)),2)</f>
        <v>1.26</v>
      </c>
    </row>
    <row r="161" spans="1:25" ht="15">
      <c r="A161" s="14"/>
      <c r="B161" s="14"/>
      <c r="C161" s="14" t="s">
        <v>74</v>
      </c>
      <c r="D161" s="17" t="s">
        <v>393</v>
      </c>
      <c r="E161" s="14"/>
      <c r="F161" s="16">
        <f>Source!CA111</f>
        <v>95</v>
      </c>
      <c r="G161" s="14" t="str">
        <f>Source!FU111</f>
        <v>*0.85</v>
      </c>
      <c r="H161" s="16">
        <f>Y161</f>
        <v>0.72</v>
      </c>
      <c r="I161" s="14" t="str">
        <f>Source!FW111</f>
        <v>((*0.8))</v>
      </c>
      <c r="J161" s="16">
        <f>Source!AU111</f>
        <v>65</v>
      </c>
      <c r="K161" s="16">
        <f>Source!Y111</f>
        <v>10.29</v>
      </c>
      <c r="L161" s="14"/>
      <c r="Y161">
        <f>ROUND((Source!FY111/100)*(ROUND((Source!CT111/IF(Source!BA111&lt;&gt;0,Source!BA111,1)*Source!I111),2)+ROUND((Source!CS111/IF(Source!BS111&lt;&gt;0,Source!BS111,1)*Source!I111),2)),2)</f>
        <v>0.72</v>
      </c>
    </row>
    <row r="162" spans="1:12" ht="15">
      <c r="A162" s="34"/>
      <c r="B162" s="34"/>
      <c r="C162" s="34" t="s">
        <v>394</v>
      </c>
      <c r="D162" s="35" t="s">
        <v>395</v>
      </c>
      <c r="E162" s="34">
        <f>Source!AQ111</f>
        <v>0.09</v>
      </c>
      <c r="F162" s="34"/>
      <c r="G162" s="36" t="str">
        <f>Source!DI111</f>
        <v>)*2</v>
      </c>
      <c r="H162" s="34"/>
      <c r="I162" s="34"/>
      <c r="J162" s="34"/>
      <c r="K162" s="34"/>
      <c r="L162" s="37">
        <f>Source!U111</f>
        <v>0.09179999999999999</v>
      </c>
    </row>
    <row r="163" spans="1:23" ht="15.75">
      <c r="A163" s="14"/>
      <c r="B163" s="14"/>
      <c r="C163" s="14"/>
      <c r="D163" s="14"/>
      <c r="E163" s="14"/>
      <c r="F163" s="14"/>
      <c r="G163" s="14"/>
      <c r="H163" s="38">
        <f>ROUND((Source!CT111/IF(Source!BA111&lt;&gt;0,Source!BA111,1)*Source!I111),2)+ROUND((Source!CR111/IF(Source!BB111&lt;&gt;0,Source!BB111,1)*Source!I111),2)+H159+H160+H161</f>
        <v>6617.590000000001</v>
      </c>
      <c r="I163" s="39"/>
      <c r="J163" s="39"/>
      <c r="K163" s="38">
        <f>Source!S111+Source!Q111+K159+K160+K161</f>
        <v>31396.930000000004</v>
      </c>
      <c r="L163" s="38">
        <f>Source!U111</f>
        <v>0.09179999999999999</v>
      </c>
      <c r="M163" s="33">
        <f>H163</f>
        <v>6617.590000000001</v>
      </c>
      <c r="N163">
        <f>ROUND((Source!CT111/IF(Source!BA111&lt;&gt;0,Source!BA111,1)*Source!I111),2)</f>
        <v>0.89</v>
      </c>
      <c r="O163">
        <f>IF(Source!BI111=1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6617.5844835</v>
      </c>
      <c r="P163">
        <f>IF(Source!BI111=2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Q163">
        <f>IF(Source!BI111=3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R163">
        <f>IF(Source!BI111=4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S163">
        <f>IF(Source!BI111=1,Source!O111+Source!X111+Source!Y111,0)</f>
        <v>31396.930000000004</v>
      </c>
      <c r="T163">
        <f>IF(Source!BI111=2,Source!O111+Source!X111+Source!Y111,0)</f>
        <v>0</v>
      </c>
      <c r="U163">
        <f>IF(Source!BI111=3,Source!O111+Source!X111+Source!Y111,0)</f>
        <v>0</v>
      </c>
      <c r="V163">
        <f>IF(Source!BI111=4,Source!O111+Source!X111+Source!Y111,0)</f>
        <v>0</v>
      </c>
      <c r="W163">
        <f>ROUND((Source!CS111/IF(Source!BS111&lt;&gt;0,Source!BS111,1)*Source!I111),2)</f>
        <v>0</v>
      </c>
    </row>
    <row r="165" spans="3:23" s="39" customFormat="1" ht="15.75">
      <c r="C165" s="39" t="s">
        <v>176</v>
      </c>
      <c r="G165" s="107">
        <f>SUM(M137:M164)</f>
        <v>48226.350000000006</v>
      </c>
      <c r="H165" s="107"/>
      <c r="J165" s="107">
        <f>ROUND(Source!AB106+Source!AK106+Source!AL106+Source!AE106*0/100,2)</f>
        <v>309097.13</v>
      </c>
      <c r="K165" s="107"/>
      <c r="L165" s="38">
        <f>Source!AH106</f>
        <v>38.13</v>
      </c>
      <c r="N165" s="38">
        <f aca="true" t="shared" si="3" ref="N165:W165">SUM(N137:N164)</f>
        <v>338.51</v>
      </c>
      <c r="O165" s="38">
        <f t="shared" si="3"/>
        <v>48226.33589375</v>
      </c>
      <c r="P165" s="38">
        <f t="shared" si="3"/>
        <v>0</v>
      </c>
      <c r="Q165" s="38">
        <f t="shared" si="3"/>
        <v>0</v>
      </c>
      <c r="R165" s="38">
        <f t="shared" si="3"/>
        <v>0</v>
      </c>
      <c r="S165" s="38">
        <f t="shared" si="3"/>
        <v>309097.12999999995</v>
      </c>
      <c r="T165" s="38">
        <f t="shared" si="3"/>
        <v>0</v>
      </c>
      <c r="U165" s="38">
        <f t="shared" si="3"/>
        <v>0</v>
      </c>
      <c r="V165" s="38">
        <f t="shared" si="3"/>
        <v>0</v>
      </c>
      <c r="W165" s="39">
        <f t="shared" si="3"/>
        <v>348.85</v>
      </c>
    </row>
    <row r="167" spans="3:30" ht="18">
      <c r="C167" s="26" t="s">
        <v>390</v>
      </c>
      <c r="D167" s="106" t="str">
        <f>IF(Source!C12="1",Source!F129,Source!G129)</f>
        <v>Ремонт придомовой территории</v>
      </c>
      <c r="E167" s="108"/>
      <c r="F167" s="108"/>
      <c r="G167" s="108"/>
      <c r="H167" s="108"/>
      <c r="I167" s="108"/>
      <c r="J167" s="108"/>
      <c r="K167" s="108"/>
      <c r="L167" s="108"/>
      <c r="AD167" s="28" t="str">
        <f>IF(Source!C12="1",Source!F129,Source!G129)</f>
        <v>Ремонт придомовой территории</v>
      </c>
    </row>
    <row r="169" spans="1:12" ht="45">
      <c r="A169" s="29" t="str">
        <f>Source!E133</f>
        <v>14</v>
      </c>
      <c r="B169" s="29" t="str">
        <f>Source!F133</f>
        <v>27-04-001-4</v>
      </c>
      <c r="C169" s="30" t="str">
        <f>Source!G133</f>
        <v>Устройство подстилающих и выравнивающих слоев оснований из щебня</v>
      </c>
      <c r="D169" s="31" t="str">
        <f>Source!H133</f>
        <v>100 м3</v>
      </c>
      <c r="E169" s="14">
        <f>ROUND(Source!I133,6)</f>
        <v>0.495</v>
      </c>
      <c r="F169" s="16">
        <f>IF(Source!AK133&lt;&gt;0,Source!AK133,Source!AL133+Source!AM133+Source!AO133)</f>
        <v>3578.4199999999996</v>
      </c>
      <c r="G169" s="14"/>
      <c r="H169" s="14"/>
      <c r="I169" s="32" t="str">
        <f>IF(Source!BO133&lt;&gt;"",Source!BO133,"")</f>
        <v>27-04-001-4</v>
      </c>
      <c r="J169" s="14"/>
      <c r="K169" s="14"/>
      <c r="L169" s="14"/>
    </row>
    <row r="170" spans="1:12" ht="15">
      <c r="A170" s="14"/>
      <c r="B170" s="14"/>
      <c r="C170" s="14" t="s">
        <v>391</v>
      </c>
      <c r="D170" s="14"/>
      <c r="E170" s="14"/>
      <c r="F170" s="16">
        <f>Source!AO133</f>
        <v>195.7</v>
      </c>
      <c r="G170" s="32">
        <f>Source!DG133</f>
      </c>
      <c r="H170" s="16">
        <f>ROUND((Source!CT133/IF(Source!BA133&lt;&gt;0,Source!BA133,1)*Source!I133),2)</f>
        <v>96.87</v>
      </c>
      <c r="I170" s="14"/>
      <c r="J170" s="14">
        <f>Source!BA133</f>
        <v>17.84</v>
      </c>
      <c r="K170" s="16">
        <f>Source!S133</f>
        <v>1728.19</v>
      </c>
      <c r="L170" s="14"/>
    </row>
    <row r="171" spans="1:12" ht="15">
      <c r="A171" s="14"/>
      <c r="B171" s="14"/>
      <c r="C171" s="14" t="s">
        <v>58</v>
      </c>
      <c r="D171" s="14"/>
      <c r="E171" s="14"/>
      <c r="F171" s="16">
        <f>Source!AM133</f>
        <v>3365.64</v>
      </c>
      <c r="G171" s="32">
        <f>Source!DE133</f>
      </c>
      <c r="H171" s="16">
        <f>ROUND((Source!CR133/IF(Source!BB133&lt;&gt;0,Source!BB133,1)*Source!I133),2)</f>
        <v>1665.99</v>
      </c>
      <c r="I171" s="14"/>
      <c r="J171" s="14">
        <f>Source!BB133</f>
        <v>6</v>
      </c>
      <c r="K171" s="16">
        <f>Source!Q133</f>
        <v>9995.95</v>
      </c>
      <c r="L171" s="14"/>
    </row>
    <row r="172" spans="1:12" ht="15">
      <c r="A172" s="14"/>
      <c r="B172" s="14"/>
      <c r="C172" s="14" t="s">
        <v>396</v>
      </c>
      <c r="D172" s="14"/>
      <c r="E172" s="14"/>
      <c r="F172" s="16">
        <f>Source!AN133</f>
        <v>280.98</v>
      </c>
      <c r="G172" s="32">
        <f>Source!DF133</f>
      </c>
      <c r="H172" s="40">
        <f>ROUND((Source!CS133/IF(Source!BS133&lt;&gt;0,Source!BS133,1)*Source!I133),2)</f>
        <v>139.09</v>
      </c>
      <c r="I172" s="14"/>
      <c r="J172" s="14">
        <f>Source!BS133</f>
        <v>17.84</v>
      </c>
      <c r="K172" s="40">
        <f>Source!R133</f>
        <v>2481.28</v>
      </c>
      <c r="L172" s="14"/>
    </row>
    <row r="173" spans="1:12" ht="15">
      <c r="A173" s="14"/>
      <c r="B173" s="14"/>
      <c r="C173" s="14" t="s">
        <v>397</v>
      </c>
      <c r="D173" s="14"/>
      <c r="E173" s="14"/>
      <c r="F173" s="16">
        <f>Source!AL133</f>
        <v>17.08</v>
      </c>
      <c r="G173" s="32">
        <f>Source!DD133</f>
      </c>
      <c r="H173" s="16">
        <f>ROUND((Source!CQ133/IF(Source!BC133&lt;&gt;0,Source!BC133,1)*Source!I133),2)</f>
        <v>8.45</v>
      </c>
      <c r="I173" s="14"/>
      <c r="J173" s="14">
        <f>Source!BC133</f>
        <v>4.95</v>
      </c>
      <c r="K173" s="16">
        <f>Source!P133</f>
        <v>41.85</v>
      </c>
      <c r="L173" s="14"/>
    </row>
    <row r="174" spans="1:24" ht="15">
      <c r="A174" s="14"/>
      <c r="B174" s="14"/>
      <c r="C174" s="14" t="s">
        <v>392</v>
      </c>
      <c r="D174" s="17" t="s">
        <v>393</v>
      </c>
      <c r="E174" s="14"/>
      <c r="F174" s="16">
        <f>Source!BZ133</f>
        <v>142</v>
      </c>
      <c r="G174" s="14"/>
      <c r="H174" s="16">
        <f>X174+X177</f>
        <v>335.06</v>
      </c>
      <c r="I174" s="14" t="str">
        <f>Source!FV133</f>
        <v>((*0.85))</v>
      </c>
      <c r="J174" s="16">
        <f>Source!AT133</f>
        <v>121</v>
      </c>
      <c r="K174" s="16">
        <f>Source!X133+Source!X134</f>
        <v>5093.46</v>
      </c>
      <c r="L174" s="14"/>
      <c r="X174">
        <f>ROUND((Source!FX133/100)*(ROUND((Source!CT133/IF(Source!BA133&lt;&gt;0,Source!BA133,1)*Source!I133),2)+ROUND((Source!CS133/IF(Source!BS133&lt;&gt;0,Source!BS133,1)*Source!I133),2)),2)</f>
        <v>335.06</v>
      </c>
    </row>
    <row r="175" spans="1:25" ht="15">
      <c r="A175" s="14"/>
      <c r="B175" s="14"/>
      <c r="C175" s="14" t="s">
        <v>74</v>
      </c>
      <c r="D175" s="17" t="s">
        <v>393</v>
      </c>
      <c r="E175" s="14"/>
      <c r="F175" s="16">
        <f>Source!CA133</f>
        <v>95</v>
      </c>
      <c r="G175" s="14" t="str">
        <f>Source!FU133</f>
        <v>*0.85</v>
      </c>
      <c r="H175" s="16">
        <f>Y175+Y177</f>
        <v>190.54</v>
      </c>
      <c r="I175" s="14" t="str">
        <f>Source!FW133</f>
        <v>((*0.8))</v>
      </c>
      <c r="J175" s="16">
        <f>Source!AU133</f>
        <v>65</v>
      </c>
      <c r="K175" s="16">
        <f>Source!Y133+Source!Y134</f>
        <v>2736.16</v>
      </c>
      <c r="L175" s="14"/>
      <c r="Y175">
        <f>ROUND((Source!FY133/100)*(ROUND((Source!CT133/IF(Source!BA133&lt;&gt;0,Source!BA133,1)*Source!I133),2)+ROUND((Source!CS133/IF(Source!BS133&lt;&gt;0,Source!BS133,1)*Source!I133),2)),2)</f>
        <v>190.54</v>
      </c>
    </row>
    <row r="176" spans="1:12" ht="15">
      <c r="A176" s="14"/>
      <c r="B176" s="14"/>
      <c r="C176" s="14" t="s">
        <v>394</v>
      </c>
      <c r="D176" s="17" t="s">
        <v>395</v>
      </c>
      <c r="E176" s="14">
        <f>Source!AQ133</f>
        <v>24.19</v>
      </c>
      <c r="F176" s="14"/>
      <c r="G176" s="32">
        <f>Source!DI133</f>
      </c>
      <c r="H176" s="14"/>
      <c r="I176" s="14"/>
      <c r="J176" s="14"/>
      <c r="K176" s="14"/>
      <c r="L176" s="16">
        <f>Source!U133</f>
        <v>11.97405</v>
      </c>
    </row>
    <row r="177" spans="1:25" ht="45">
      <c r="A177" s="42"/>
      <c r="B177" s="42" t="str">
        <f>Source!F134</f>
        <v>408-0393</v>
      </c>
      <c r="C177" s="43" t="str">
        <f>Source!G134</f>
        <v>Щебень известняковый для строительных работ марки 600 фракции 40-70 мм</v>
      </c>
      <c r="D177" s="44" t="str">
        <f>Source!H134</f>
        <v>м3</v>
      </c>
      <c r="E177" s="34">
        <f>ROUND(Source!I134,6)</f>
        <v>61.875</v>
      </c>
      <c r="F177" s="37">
        <f>IF(Source!AL134=0,Source!AK134,Source!AL134)</f>
        <v>98.6</v>
      </c>
      <c r="G177" s="36">
        <f>Source!DD134</f>
      </c>
      <c r="H177" s="45">
        <f>ROUND((Source!CR134/IF(Source!BB134&lt;&gt;0,Source!BB134,1)*Source!I134),2)+ROUND((Source!CQ134/IF(Source!BC134&lt;&gt;0,Source!BC134,1)*Source!I134),2)+ROUND((Source!CT134/IF(Source!BA134&lt;&gt;0,Source!BA134,1)*Source!I134),2)</f>
        <v>6100.88</v>
      </c>
      <c r="I177" s="36" t="str">
        <f>IF(Source!BO134&lt;&gt;"",Source!BO134,"")</f>
        <v>408-0393</v>
      </c>
      <c r="J177" s="34">
        <f>Source!BC134</f>
        <v>10.79</v>
      </c>
      <c r="K177" s="37">
        <f>Source!O134</f>
        <v>65828.44</v>
      </c>
      <c r="L177" s="34"/>
      <c r="N177">
        <f>ROUND((Source!CT134/IF(Source!BA134&lt;&gt;0,Source!BA134,1)*Source!I134),2)</f>
        <v>0</v>
      </c>
      <c r="O177">
        <f>IF(Source!BI134=1,(ROUND((Source!CR134/IF(Source!BB134&lt;&gt;0,Source!BB134,1)*Source!I134),2)+ROUND((Source!CQ134/IF(Source!BC134&lt;&gt;0,Source!BC134,1)*Source!I134),2)+ROUND((Source!CT134/IF(Source!BA134&lt;&gt;0,Source!BA134,1)*Source!I134),2)),0)</f>
        <v>6100.88</v>
      </c>
      <c r="P177">
        <f>IF(Source!BI134=2,(ROUND((Source!CR134/IF(Source!BB134&lt;&gt;0,Source!BB134,1)*Source!I134),2)+ROUND((Source!CQ134/IF(Source!BC134&lt;&gt;0,Source!BC134,1)*Source!I134),2)+ROUND((Source!CT134/IF(Source!BA134&lt;&gt;0,Source!BA134,1)*Source!I134),2)),0)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Q177">
        <f>IF(Source!BI134=3,(ROUND((Source!CR134/IF(Source!BB134&lt;&gt;0,Source!BB134,1)*Source!I134),2)+ROUND((Source!CQ134/IF(Source!BC134&lt;&gt;0,Source!BC134,1)*Source!I134),2)+ROUND((Source!CT134/IF(Source!BA134&lt;&gt;0,Source!BA134,1)*Source!I134),2)),0)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R177">
        <f>IF(Source!BI134=4,(ROUND((Source!CR134/IF(Source!BB134&lt;&gt;0,Source!BB134,1)*Source!I134),2)+ROUND((Source!CQ134/IF(Source!BC134&lt;&gt;0,Source!BC134,1)*Source!I134),2)+ROUND((Source!CT134/IF(Source!BA134&lt;&gt;0,Source!BA134,1)*Source!I134),2)),0)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S177">
        <f>IF(Source!BI134=1,Source!O134+Source!X134+Source!Y134,0)</f>
        <v>65828.44</v>
      </c>
      <c r="T177">
        <f>IF(Source!BI134=2,Source!O134+Source!X134+Source!Y134,0)</f>
        <v>0</v>
      </c>
      <c r="U177">
        <f>IF(Source!BI134=3,Source!O134+Source!X134+Source!Y134,0)</f>
        <v>0</v>
      </c>
      <c r="V177">
        <f>IF(Source!BI134=4,Source!O134+Source!X134+Source!Y134,0)</f>
        <v>0</v>
      </c>
      <c r="W177">
        <f>ROUND((Source!CS134/IF(Source!BS134&lt;&gt;0,Source!BS134,1)*Source!I134),2)</f>
        <v>0</v>
      </c>
      <c r="X177">
        <f>ROUND((Source!FX134/100)*(ROUND((Source!CT134/IF(Source!BA134&lt;&gt;0,Source!BA134,1)*Source!I134),2)+ROUND((Source!CS134/IF(Source!BS134&lt;&gt;0,Source!BS134,1)*Source!I134),2)),2)</f>
        <v>0</v>
      </c>
      <c r="Y177">
        <f>ROUND((Source!FY134/100)*(ROUND((Source!CT134/IF(Source!BA134&lt;&gt;0,Source!BA134,1)*Source!I134),2)+ROUND((Source!CS134/IF(Source!BS134&lt;&gt;0,Source!BS134,1)*Source!I134),2)),2)</f>
        <v>0</v>
      </c>
    </row>
    <row r="178" spans="1:23" ht="15.75">
      <c r="A178" s="14"/>
      <c r="B178" s="14"/>
      <c r="C178" s="14"/>
      <c r="D178" s="14"/>
      <c r="E178" s="14"/>
      <c r="F178" s="14"/>
      <c r="G178" s="14"/>
      <c r="H178" s="38">
        <f>ROUND((Source!CT133/IF(Source!BA133&lt;&gt;0,Source!BA133,1)*Source!I133),2)+ROUND((Source!CR133/IF(Source!BB133&lt;&gt;0,Source!BB133,1)*Source!I133),2)+H173+H174+H175+H177</f>
        <v>8397.79</v>
      </c>
      <c r="I178" s="39"/>
      <c r="J178" s="39"/>
      <c r="K178" s="38">
        <f>Source!S133+Source!Q133+K173+K174+K175+K177</f>
        <v>85424.05</v>
      </c>
      <c r="L178" s="38">
        <f>Source!U133</f>
        <v>11.97405</v>
      </c>
      <c r="M178" s="33">
        <f>H178</f>
        <v>8397.79</v>
      </c>
      <c r="N178">
        <f>ROUND((Source!CT133/IF(Source!BA133&lt;&gt;0,Source!BA133,1)*Source!I133),2)</f>
        <v>96.87</v>
      </c>
      <c r="O178">
        <f>IF(Source!BI133=1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2296.9112265</v>
      </c>
      <c r="P178">
        <f>IF(Source!BI133=2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Q178">
        <f>IF(Source!BI133=3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R178">
        <f>IF(Source!BI133=4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S178">
        <f>IF(Source!BI133=1,Source!O133+Source!X133+Source!Y133,0)</f>
        <v>19595.61</v>
      </c>
      <c r="T178">
        <f>IF(Source!BI133=2,Source!O133+Source!X133+Source!Y133,0)</f>
        <v>0</v>
      </c>
      <c r="U178">
        <f>IF(Source!BI133=3,Source!O133+Source!X133+Source!Y133,0)</f>
        <v>0</v>
      </c>
      <c r="V178">
        <f>IF(Source!BI133=4,Source!O133+Source!X133+Source!Y133,0)</f>
        <v>0</v>
      </c>
      <c r="W178">
        <f>ROUND((Source!CS133/IF(Source!BS133&lt;&gt;0,Source!BS133,1)*Source!I133),2)</f>
        <v>139.09</v>
      </c>
    </row>
    <row r="179" spans="1:12" ht="90">
      <c r="A179" s="29" t="str">
        <f>Source!E135</f>
        <v>15</v>
      </c>
      <c r="B179" s="29" t="str">
        <f>Source!F135</f>
        <v>27-06-020-1</v>
      </c>
      <c r="C179" s="30" t="str">
        <f>Source!G135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79" s="31" t="str">
        <f>Source!H135</f>
        <v>1000 м2</v>
      </c>
      <c r="E179" s="14">
        <f>ROUND(Source!I135,6)</f>
        <v>0.33</v>
      </c>
      <c r="F179" s="16">
        <f>IF(Source!AK135&lt;&gt;0,Source!AK135,Source!AL135+Source!AM135+Source!AO135)</f>
        <v>54732.409999999996</v>
      </c>
      <c r="G179" s="14"/>
      <c r="H179" s="14"/>
      <c r="I179" s="32" t="str">
        <f>IF(Source!BO135&lt;&gt;"",Source!BO135,"")</f>
        <v>27-06-020-1</v>
      </c>
      <c r="J179" s="14"/>
      <c r="K179" s="14"/>
      <c r="L179" s="14"/>
    </row>
    <row r="180" spans="1:12" ht="15">
      <c r="A180" s="14"/>
      <c r="B180" s="14"/>
      <c r="C180" s="14" t="s">
        <v>391</v>
      </c>
      <c r="D180" s="14"/>
      <c r="E180" s="14"/>
      <c r="F180" s="16">
        <f>Source!AO135</f>
        <v>368.45</v>
      </c>
      <c r="G180" s="32">
        <f>Source!DG135</f>
      </c>
      <c r="H180" s="16">
        <f>ROUND((Source!CT135/IF(Source!BA135&lt;&gt;0,Source!BA135,1)*Source!I135),2)</f>
        <v>121.59</v>
      </c>
      <c r="I180" s="14"/>
      <c r="J180" s="14">
        <f>Source!BA135</f>
        <v>17.84</v>
      </c>
      <c r="K180" s="16">
        <f>Source!S135</f>
        <v>2169.14</v>
      </c>
      <c r="L180" s="14"/>
    </row>
    <row r="181" spans="1:12" ht="15">
      <c r="A181" s="14"/>
      <c r="B181" s="14"/>
      <c r="C181" s="14" t="s">
        <v>58</v>
      </c>
      <c r="D181" s="14"/>
      <c r="E181" s="14"/>
      <c r="F181" s="16">
        <f>Source!AM135</f>
        <v>2386.22</v>
      </c>
      <c r="G181" s="32">
        <f>Source!DE135</f>
      </c>
      <c r="H181" s="16">
        <f>ROUND((Source!CR135/IF(Source!BB135&lt;&gt;0,Source!BB135,1)*Source!I135),2)</f>
        <v>787.45</v>
      </c>
      <c r="I181" s="14"/>
      <c r="J181" s="14">
        <f>Source!BB135</f>
        <v>4.93</v>
      </c>
      <c r="K181" s="16">
        <f>Source!Q135</f>
        <v>3882.14</v>
      </c>
      <c r="L181" s="14"/>
    </row>
    <row r="182" spans="1:12" ht="15">
      <c r="A182" s="14"/>
      <c r="B182" s="14"/>
      <c r="C182" s="14" t="s">
        <v>396</v>
      </c>
      <c r="D182" s="14"/>
      <c r="E182" s="14"/>
      <c r="F182" s="16">
        <f>Source!AN135</f>
        <v>262.54</v>
      </c>
      <c r="G182" s="32">
        <f>Source!DF135</f>
      </c>
      <c r="H182" s="40">
        <f>ROUND((Source!CS135/IF(Source!BS135&lt;&gt;0,Source!BS135,1)*Source!I135),2)</f>
        <v>86.64</v>
      </c>
      <c r="I182" s="14"/>
      <c r="J182" s="14">
        <f>Source!BS135</f>
        <v>17.84</v>
      </c>
      <c r="K182" s="40">
        <f>Source!R135</f>
        <v>1545.63</v>
      </c>
      <c r="L182" s="14"/>
    </row>
    <row r="183" spans="1:12" ht="15">
      <c r="A183" s="14"/>
      <c r="B183" s="14"/>
      <c r="C183" s="14" t="s">
        <v>397</v>
      </c>
      <c r="D183" s="14"/>
      <c r="E183" s="14"/>
      <c r="F183" s="16">
        <f>Source!AL135</f>
        <v>51977.74</v>
      </c>
      <c r="G183" s="32">
        <f>Source!DD135</f>
      </c>
      <c r="H183" s="16">
        <f>ROUND((Source!CQ135/IF(Source!BC135&lt;&gt;0,Source!BC135,1)*Source!I135),2)</f>
        <v>17152.65</v>
      </c>
      <c r="I183" s="14"/>
      <c r="J183" s="14">
        <f>Source!BC135</f>
        <v>4.74</v>
      </c>
      <c r="K183" s="16">
        <f>Source!P135</f>
        <v>81303.58</v>
      </c>
      <c r="L183" s="14"/>
    </row>
    <row r="184" spans="1:24" ht="15">
      <c r="A184" s="14"/>
      <c r="B184" s="14"/>
      <c r="C184" s="14" t="s">
        <v>392</v>
      </c>
      <c r="D184" s="17" t="s">
        <v>393</v>
      </c>
      <c r="E184" s="14"/>
      <c r="F184" s="16">
        <f>Source!BZ135</f>
        <v>142</v>
      </c>
      <c r="G184" s="14"/>
      <c r="H184" s="16">
        <f>X184</f>
        <v>295.69</v>
      </c>
      <c r="I184" s="14" t="str">
        <f>Source!FV135</f>
        <v>((*0.85))</v>
      </c>
      <c r="J184" s="16">
        <f>Source!AT135</f>
        <v>121</v>
      </c>
      <c r="K184" s="16">
        <f>Source!X135</f>
        <v>4494.87</v>
      </c>
      <c r="L184" s="14"/>
      <c r="X184">
        <f>ROUND((Source!FX135/100)*(ROUND((Source!CT135/IF(Source!BA135&lt;&gt;0,Source!BA135,1)*Source!I135),2)+ROUND((Source!CS135/IF(Source!BS135&lt;&gt;0,Source!BS135,1)*Source!I135),2)),2)</f>
        <v>295.69</v>
      </c>
    </row>
    <row r="185" spans="1:25" ht="15">
      <c r="A185" s="14"/>
      <c r="B185" s="14"/>
      <c r="C185" s="14" t="s">
        <v>74</v>
      </c>
      <c r="D185" s="17" t="s">
        <v>393</v>
      </c>
      <c r="E185" s="14"/>
      <c r="F185" s="16">
        <f>Source!CA135</f>
        <v>95</v>
      </c>
      <c r="G185" s="14" t="str">
        <f>Source!FU135</f>
        <v>*0.85</v>
      </c>
      <c r="H185" s="16">
        <f>Y185</f>
        <v>168.15</v>
      </c>
      <c r="I185" s="14" t="str">
        <f>Source!FW135</f>
        <v>((*0.8))</v>
      </c>
      <c r="J185" s="16">
        <f>Source!AU135</f>
        <v>65</v>
      </c>
      <c r="K185" s="16">
        <f>Source!Y135</f>
        <v>2414.6</v>
      </c>
      <c r="L185" s="14"/>
      <c r="Y185">
        <f>ROUND((Source!FY135/100)*(ROUND((Source!CT135/IF(Source!BA135&lt;&gt;0,Source!BA135,1)*Source!I135),2)+ROUND((Source!CS135/IF(Source!BS135&lt;&gt;0,Source!BS135,1)*Source!I135),2)),2)</f>
        <v>168.15</v>
      </c>
    </row>
    <row r="186" spans="1:12" ht="15">
      <c r="A186" s="34"/>
      <c r="B186" s="34"/>
      <c r="C186" s="34" t="s">
        <v>394</v>
      </c>
      <c r="D186" s="35" t="s">
        <v>395</v>
      </c>
      <c r="E186" s="34">
        <f>Source!AQ135</f>
        <v>38.3</v>
      </c>
      <c r="F186" s="34"/>
      <c r="G186" s="36">
        <f>Source!DI135</f>
      </c>
      <c r="H186" s="34"/>
      <c r="I186" s="34"/>
      <c r="J186" s="34"/>
      <c r="K186" s="34"/>
      <c r="L186" s="37">
        <f>Source!U135</f>
        <v>12.639</v>
      </c>
    </row>
    <row r="187" spans="1:23" ht="15.75">
      <c r="A187" s="14"/>
      <c r="B187" s="14"/>
      <c r="C187" s="14"/>
      <c r="D187" s="14"/>
      <c r="E187" s="14"/>
      <c r="F187" s="14"/>
      <c r="G187" s="14"/>
      <c r="H187" s="38">
        <f>ROUND((Source!CT135/IF(Source!BA135&lt;&gt;0,Source!BA135,1)*Source!I135),2)+ROUND((Source!CR135/IF(Source!BB135&lt;&gt;0,Source!BB135,1)*Source!I135),2)+H183+H184+H185</f>
        <v>18525.530000000002</v>
      </c>
      <c r="I187" s="39"/>
      <c r="J187" s="39"/>
      <c r="K187" s="38">
        <f>Source!S135+Source!Q135+K183+K184+K185</f>
        <v>94264.33</v>
      </c>
      <c r="L187" s="38">
        <f>Source!U135</f>
        <v>12.639</v>
      </c>
      <c r="M187" s="33">
        <f>H187</f>
        <v>18525.530000000002</v>
      </c>
      <c r="N187">
        <f>ROUND((Source!CT135/IF(Source!BA135&lt;&gt;0,Source!BA135,1)*Source!I135),2)</f>
        <v>121.59</v>
      </c>
      <c r="O187">
        <f>IF(Source!BI135=1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18525.52027425</v>
      </c>
      <c r="P187">
        <f>IF(Source!BI135=2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Q187">
        <f>IF(Source!BI135=3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R187">
        <f>IF(Source!BI135=4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S187">
        <f>IF(Source!BI135=1,Source!O135+Source!X135+Source!Y135,0)</f>
        <v>94264.33</v>
      </c>
      <c r="T187">
        <f>IF(Source!BI135=2,Source!O135+Source!X135+Source!Y135,0)</f>
        <v>0</v>
      </c>
      <c r="U187">
        <f>IF(Source!BI135=3,Source!O135+Source!X135+Source!Y135,0)</f>
        <v>0</v>
      </c>
      <c r="V187">
        <f>IF(Source!BI135=4,Source!O135+Source!X135+Source!Y135,0)</f>
        <v>0</v>
      </c>
      <c r="W187">
        <f>ROUND((Source!CS135/IF(Source!BS135&lt;&gt;0,Source!BS135,1)*Source!I135),2)</f>
        <v>86.64</v>
      </c>
    </row>
    <row r="188" spans="1:12" ht="60">
      <c r="A188" s="29" t="str">
        <f>Source!E136</f>
        <v>16</v>
      </c>
      <c r="B188" s="29" t="str">
        <f>Source!F136</f>
        <v>27-06-021-1</v>
      </c>
      <c r="C188" s="30" t="str">
        <f>Source!G136</f>
        <v>На каждые 0,5 см изменения толщины покрытия добавлять или исключать к расценке 27-06-020-01</v>
      </c>
      <c r="D188" s="31" t="str">
        <f>Source!H136</f>
        <v>1000 м2</v>
      </c>
      <c r="E188" s="14">
        <f>ROUND(Source!I136,6)</f>
        <v>0.33</v>
      </c>
      <c r="F188" s="16">
        <f>IF(Source!AK136&lt;&gt;0,Source!AK136,Source!AL136+Source!AM136+Source!AO136)</f>
        <v>6485.89</v>
      </c>
      <c r="G188" s="14"/>
      <c r="H188" s="14"/>
      <c r="I188" s="32" t="str">
        <f>IF(Source!BO136&lt;&gt;"",Source!BO136,"")</f>
        <v>27-06-021-1</v>
      </c>
      <c r="J188" s="14"/>
      <c r="K188" s="14"/>
      <c r="L188" s="14"/>
    </row>
    <row r="189" spans="1:12" ht="15">
      <c r="A189" s="14"/>
      <c r="B189" s="14"/>
      <c r="C189" s="14" t="s">
        <v>391</v>
      </c>
      <c r="D189" s="14"/>
      <c r="E189" s="14"/>
      <c r="F189" s="16">
        <f>Source!AO136</f>
        <v>0.87</v>
      </c>
      <c r="G189" s="32" t="str">
        <f>Source!DG136</f>
        <v>)*2</v>
      </c>
      <c r="H189" s="16">
        <f>ROUND((Source!CT136/IF(Source!BA136&lt;&gt;0,Source!BA136,1)*Source!I136),2)</f>
        <v>0.57</v>
      </c>
      <c r="I189" s="14"/>
      <c r="J189" s="14">
        <f>Source!BA136</f>
        <v>17.84</v>
      </c>
      <c r="K189" s="16">
        <f>Source!S136</f>
        <v>10.24</v>
      </c>
      <c r="L189" s="14"/>
    </row>
    <row r="190" spans="1:12" ht="15">
      <c r="A190" s="14"/>
      <c r="B190" s="14"/>
      <c r="C190" s="14" t="s">
        <v>58</v>
      </c>
      <c r="D190" s="14"/>
      <c r="E190" s="14"/>
      <c r="F190" s="16">
        <f>Source!AM136</f>
        <v>3.1</v>
      </c>
      <c r="G190" s="32" t="str">
        <f>Source!DE136</f>
        <v>)*2</v>
      </c>
      <c r="H190" s="16">
        <f>ROUND((Source!CR136/IF(Source!BB136&lt;&gt;0,Source!BB136,1)*Source!I136),2)</f>
        <v>2.05</v>
      </c>
      <c r="I190" s="14"/>
      <c r="J190" s="14">
        <f>Source!BB136</f>
        <v>4.07</v>
      </c>
      <c r="K190" s="16">
        <f>Source!Q136</f>
        <v>8.33</v>
      </c>
      <c r="L190" s="14"/>
    </row>
    <row r="191" spans="1:12" ht="15">
      <c r="A191" s="14"/>
      <c r="B191" s="14"/>
      <c r="C191" s="14" t="s">
        <v>397</v>
      </c>
      <c r="D191" s="14"/>
      <c r="E191" s="14"/>
      <c r="F191" s="16">
        <f>Source!AL136</f>
        <v>6481.92</v>
      </c>
      <c r="G191" s="32" t="str">
        <f>Source!DD136</f>
        <v>)*2</v>
      </c>
      <c r="H191" s="16">
        <f>ROUND((Source!CQ136/IF(Source!BC136&lt;&gt;0,Source!BC136,1)*Source!I136),2)</f>
        <v>4278.07</v>
      </c>
      <c r="I191" s="14"/>
      <c r="J191" s="14">
        <f>Source!BC136</f>
        <v>4.74</v>
      </c>
      <c r="K191" s="16">
        <f>Source!P136</f>
        <v>20278.04</v>
      </c>
      <c r="L191" s="14"/>
    </row>
    <row r="192" spans="1:24" ht="15">
      <c r="A192" s="14"/>
      <c r="B192" s="14"/>
      <c r="C192" s="14" t="s">
        <v>392</v>
      </c>
      <c r="D192" s="17" t="s">
        <v>393</v>
      </c>
      <c r="E192" s="14"/>
      <c r="F192" s="16">
        <f>Source!BZ136</f>
        <v>142</v>
      </c>
      <c r="G192" s="14"/>
      <c r="H192" s="16">
        <f>X192</f>
        <v>0.81</v>
      </c>
      <c r="I192" s="14" t="str">
        <f>Source!FV136</f>
        <v>((*0.85))</v>
      </c>
      <c r="J192" s="16">
        <f>Source!AT136</f>
        <v>121</v>
      </c>
      <c r="K192" s="16">
        <f>Source!X136</f>
        <v>12.39</v>
      </c>
      <c r="L192" s="14"/>
      <c r="X192">
        <f>ROUND((Source!FX136/100)*(ROUND((Source!CT136/IF(Source!BA136&lt;&gt;0,Source!BA136,1)*Source!I136),2)+ROUND((Source!CS136/IF(Source!BS136&lt;&gt;0,Source!BS136,1)*Source!I136),2)),2)</f>
        <v>0.81</v>
      </c>
    </row>
    <row r="193" spans="1:25" ht="15">
      <c r="A193" s="14"/>
      <c r="B193" s="14"/>
      <c r="C193" s="14" t="s">
        <v>74</v>
      </c>
      <c r="D193" s="17" t="s">
        <v>393</v>
      </c>
      <c r="E193" s="14"/>
      <c r="F193" s="16">
        <f>Source!CA136</f>
        <v>95</v>
      </c>
      <c r="G193" s="14" t="str">
        <f>Source!FU136</f>
        <v>*0.85</v>
      </c>
      <c r="H193" s="16">
        <f>Y193</f>
        <v>0.46</v>
      </c>
      <c r="I193" s="14" t="str">
        <f>Source!FW136</f>
        <v>((*0.8))</v>
      </c>
      <c r="J193" s="16">
        <f>Source!AU136</f>
        <v>65</v>
      </c>
      <c r="K193" s="16">
        <f>Source!Y136</f>
        <v>6.66</v>
      </c>
      <c r="L193" s="14"/>
      <c r="Y193">
        <f>ROUND((Source!FY136/100)*(ROUND((Source!CT136/IF(Source!BA136&lt;&gt;0,Source!BA136,1)*Source!I136),2)+ROUND((Source!CS136/IF(Source!BS136&lt;&gt;0,Source!BS136,1)*Source!I136),2)),2)</f>
        <v>0.46</v>
      </c>
    </row>
    <row r="194" spans="1:12" ht="15">
      <c r="A194" s="34"/>
      <c r="B194" s="34"/>
      <c r="C194" s="34" t="s">
        <v>394</v>
      </c>
      <c r="D194" s="35" t="s">
        <v>395</v>
      </c>
      <c r="E194" s="34">
        <f>Source!AQ136</f>
        <v>0.09</v>
      </c>
      <c r="F194" s="34"/>
      <c r="G194" s="36" t="str">
        <f>Source!DI136</f>
        <v>)*2</v>
      </c>
      <c r="H194" s="34"/>
      <c r="I194" s="34"/>
      <c r="J194" s="34"/>
      <c r="K194" s="34"/>
      <c r="L194" s="37">
        <f>Source!U136</f>
        <v>0.0594</v>
      </c>
    </row>
    <row r="195" spans="1:23" ht="15.75">
      <c r="A195" s="14"/>
      <c r="B195" s="14"/>
      <c r="C195" s="14"/>
      <c r="D195" s="14"/>
      <c r="E195" s="14"/>
      <c r="F195" s="14"/>
      <c r="G195" s="14"/>
      <c r="H195" s="38">
        <f>ROUND((Source!CT136/IF(Source!BA136&lt;&gt;0,Source!BA136,1)*Source!I136),2)+ROUND((Source!CR136/IF(Source!BB136&lt;&gt;0,Source!BB136,1)*Source!I136),2)+H191+H192+H193</f>
        <v>4281.96</v>
      </c>
      <c r="I195" s="39"/>
      <c r="J195" s="39"/>
      <c r="K195" s="38">
        <f>Source!S136+Source!Q136+K191+K192+K193</f>
        <v>20315.66</v>
      </c>
      <c r="L195" s="38">
        <f>Source!U136</f>
        <v>0.0594</v>
      </c>
      <c r="M195" s="33">
        <f>H195</f>
        <v>4281.96</v>
      </c>
      <c r="N195">
        <f>ROUND((Source!CT136/IF(Source!BA136&lt;&gt;0,Source!BA136,1)*Source!I136),2)</f>
        <v>0.57</v>
      </c>
      <c r="O195">
        <f>IF(Source!BI136=1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4281.966430500001</v>
      </c>
      <c r="P195">
        <f>IF(Source!BI136=2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Q195">
        <f>IF(Source!BI136=3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R195">
        <f>IF(Source!BI136=4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S195">
        <f>IF(Source!BI136=1,Source!O136+Source!X136+Source!Y136,0)</f>
        <v>20315.66</v>
      </c>
      <c r="T195">
        <f>IF(Source!BI136=2,Source!O136+Source!X136+Source!Y136,0)</f>
        <v>0</v>
      </c>
      <c r="U195">
        <f>IF(Source!BI136=3,Source!O136+Source!X136+Source!Y136,0)</f>
        <v>0</v>
      </c>
      <c r="V195">
        <f>IF(Source!BI136=4,Source!O136+Source!X136+Source!Y136,0)</f>
        <v>0</v>
      </c>
      <c r="W195">
        <f>ROUND((Source!CS136/IF(Source!BS136&lt;&gt;0,Source!BS136,1)*Source!I136),2)</f>
        <v>0</v>
      </c>
    </row>
    <row r="197" spans="3:23" s="39" customFormat="1" ht="15.75">
      <c r="C197" s="39" t="s">
        <v>176</v>
      </c>
      <c r="G197" s="107">
        <f>SUM(M169:M196)</f>
        <v>31205.280000000002</v>
      </c>
      <c r="H197" s="107"/>
      <c r="J197" s="107">
        <f>ROUND(Source!AB131+Source!AK131+Source!AL131+Source!AE131*0/100,2)</f>
        <v>200004.04</v>
      </c>
      <c r="K197" s="107"/>
      <c r="L197" s="38">
        <f>Source!AH131</f>
        <v>24.67</v>
      </c>
      <c r="N197" s="38">
        <f aca="true" t="shared" si="4" ref="N197:W197">SUM(N169:N196)</f>
        <v>219.03</v>
      </c>
      <c r="O197" s="38">
        <f t="shared" si="4"/>
        <v>31205.277931250002</v>
      </c>
      <c r="P197" s="38">
        <f t="shared" si="4"/>
        <v>0</v>
      </c>
      <c r="Q197" s="38">
        <f t="shared" si="4"/>
        <v>0</v>
      </c>
      <c r="R197" s="38">
        <f t="shared" si="4"/>
        <v>0</v>
      </c>
      <c r="S197" s="38">
        <f t="shared" si="4"/>
        <v>200004.04</v>
      </c>
      <c r="T197" s="38">
        <f t="shared" si="4"/>
        <v>0</v>
      </c>
      <c r="U197" s="38">
        <f t="shared" si="4"/>
        <v>0</v>
      </c>
      <c r="V197" s="38">
        <f t="shared" si="4"/>
        <v>0</v>
      </c>
      <c r="W197" s="39">
        <f t="shared" si="4"/>
        <v>225.73000000000002</v>
      </c>
    </row>
    <row r="199" spans="3:30" ht="18">
      <c r="C199" s="26" t="s">
        <v>390</v>
      </c>
      <c r="D199" s="106" t="str">
        <f>IF(Source!C12="1",Source!F154,Source!G154)</f>
        <v>Устройство тротуара</v>
      </c>
      <c r="E199" s="108"/>
      <c r="F199" s="108"/>
      <c r="G199" s="108"/>
      <c r="H199" s="108"/>
      <c r="I199" s="108"/>
      <c r="J199" s="108"/>
      <c r="K199" s="108"/>
      <c r="L199" s="108"/>
      <c r="AD199" s="28" t="str">
        <f>IF(Source!C12="1",Source!F154,Source!G154)</f>
        <v>Устройство тротуара</v>
      </c>
    </row>
    <row r="201" spans="1:12" ht="75">
      <c r="A201" s="29" t="str">
        <f>Source!E158</f>
        <v>17</v>
      </c>
      <c r="B201" s="29" t="str">
        <f>Source!F158</f>
        <v>01-01-013-14</v>
      </c>
      <c r="C201" s="30" t="str">
        <f>Source!G158</f>
        <v>Разработка грунта с погрузкой на автомобили-самосвалы экскаваторами с ковшом вместимостью 0,5 (0,5-0,63) м3, группа грунтов 2</v>
      </c>
      <c r="D201" s="31" t="str">
        <f>Source!H158</f>
        <v>1000 м3</v>
      </c>
      <c r="E201" s="14">
        <f>ROUND(Source!I158,6)</f>
        <v>0.04641</v>
      </c>
      <c r="F201" s="16">
        <f>IF(Source!AK158&lt;&gt;0,Source!AK158,Source!AL158+Source!AM158+Source!AO158)</f>
        <v>4277.16</v>
      </c>
      <c r="G201" s="14"/>
      <c r="H201" s="14"/>
      <c r="I201" s="32" t="str">
        <f>IF(Source!BO158&lt;&gt;"",Source!BO158,"")</f>
        <v>01-01-013-14</v>
      </c>
      <c r="J201" s="14"/>
      <c r="K201" s="14"/>
      <c r="L201" s="14"/>
    </row>
    <row r="202" spans="1:12" ht="15">
      <c r="A202" s="14"/>
      <c r="B202" s="14"/>
      <c r="C202" s="14" t="s">
        <v>391</v>
      </c>
      <c r="D202" s="14"/>
      <c r="E202" s="14"/>
      <c r="F202" s="16">
        <f>Source!AO158</f>
        <v>117.62</v>
      </c>
      <c r="G202" s="32">
        <f>Source!DG158</f>
      </c>
      <c r="H202" s="16">
        <f>ROUND((Source!CT158/IF(Source!BA158&lt;&gt;0,Source!BA158,1)*Source!I158),2)</f>
        <v>5.46</v>
      </c>
      <c r="I202" s="14"/>
      <c r="J202" s="14">
        <f>Source!BA158</f>
        <v>17.63</v>
      </c>
      <c r="K202" s="16">
        <f>Source!S158</f>
        <v>96.24</v>
      </c>
      <c r="L202" s="14"/>
    </row>
    <row r="203" spans="1:12" ht="15">
      <c r="A203" s="14"/>
      <c r="B203" s="14"/>
      <c r="C203" s="14" t="s">
        <v>58</v>
      </c>
      <c r="D203" s="14"/>
      <c r="E203" s="14"/>
      <c r="F203" s="16">
        <f>Source!AM158</f>
        <v>4155.2</v>
      </c>
      <c r="G203" s="32">
        <f>Source!DE158</f>
      </c>
      <c r="H203" s="16">
        <f>ROUND((Source!CR158/IF(Source!BB158&lt;&gt;0,Source!BB158,1)*Source!I158),2)</f>
        <v>192.84</v>
      </c>
      <c r="I203" s="14"/>
      <c r="J203" s="14">
        <f>Source!BB158</f>
        <v>8.67</v>
      </c>
      <c r="K203" s="16">
        <f>Source!Q158</f>
        <v>1671.95</v>
      </c>
      <c r="L203" s="14"/>
    </row>
    <row r="204" spans="1:12" ht="15">
      <c r="A204" s="14"/>
      <c r="B204" s="14"/>
      <c r="C204" s="14" t="s">
        <v>396</v>
      </c>
      <c r="D204" s="14"/>
      <c r="E204" s="14"/>
      <c r="F204" s="16">
        <f>Source!AN158</f>
        <v>598.18</v>
      </c>
      <c r="G204" s="32">
        <f>Source!DF158</f>
      </c>
      <c r="H204" s="40">
        <f>ROUND((Source!CS158/IF(Source!BS158&lt;&gt;0,Source!BS158,1)*Source!I158),2)</f>
        <v>27.76</v>
      </c>
      <c r="I204" s="14"/>
      <c r="J204" s="14">
        <f>Source!BS158</f>
        <v>17.63</v>
      </c>
      <c r="K204" s="40">
        <f>Source!R158</f>
        <v>489.44</v>
      </c>
      <c r="L204" s="14"/>
    </row>
    <row r="205" spans="1:12" ht="15">
      <c r="A205" s="14"/>
      <c r="B205" s="14"/>
      <c r="C205" s="14" t="s">
        <v>397</v>
      </c>
      <c r="D205" s="14"/>
      <c r="E205" s="14"/>
      <c r="F205" s="16">
        <f>Source!AL158</f>
        <v>4.34</v>
      </c>
      <c r="G205" s="32">
        <f>Source!DD158</f>
      </c>
      <c r="H205" s="16">
        <f>ROUND((Source!CQ158/IF(Source!BC158&lt;&gt;0,Source!BC158,1)*Source!I158),2)</f>
        <v>0.2</v>
      </c>
      <c r="I205" s="14"/>
      <c r="J205" s="14">
        <f>Source!BC158</f>
        <v>11.94</v>
      </c>
      <c r="K205" s="16">
        <f>Source!P158</f>
        <v>2.4</v>
      </c>
      <c r="L205" s="14"/>
    </row>
    <row r="206" spans="1:24" ht="15">
      <c r="A206" s="14"/>
      <c r="B206" s="14"/>
      <c r="C206" s="14" t="s">
        <v>392</v>
      </c>
      <c r="D206" s="17" t="s">
        <v>393</v>
      </c>
      <c r="E206" s="14"/>
      <c r="F206" s="16">
        <f>Source!BZ158</f>
        <v>95</v>
      </c>
      <c r="G206" s="14"/>
      <c r="H206" s="16">
        <f>X206</f>
        <v>31.56</v>
      </c>
      <c r="I206" s="14" t="str">
        <f>Source!FV158</f>
        <v>((*0.85))</v>
      </c>
      <c r="J206" s="16">
        <f>Source!AT158</f>
        <v>81</v>
      </c>
      <c r="K206" s="16">
        <f>Source!X158</f>
        <v>474.4</v>
      </c>
      <c r="L206" s="14"/>
      <c r="X206">
        <f>ROUND((Source!FX158/100)*(ROUND((Source!CT158/IF(Source!BA158&lt;&gt;0,Source!BA158,1)*Source!I158),2)+ROUND((Source!CS158/IF(Source!BS158&lt;&gt;0,Source!BS158,1)*Source!I158),2)),2)</f>
        <v>31.56</v>
      </c>
    </row>
    <row r="207" spans="1:25" ht="15">
      <c r="A207" s="14"/>
      <c r="B207" s="14"/>
      <c r="C207" s="14" t="s">
        <v>74</v>
      </c>
      <c r="D207" s="17" t="s">
        <v>393</v>
      </c>
      <c r="E207" s="14"/>
      <c r="F207" s="16">
        <f>Source!CA158</f>
        <v>50</v>
      </c>
      <c r="G207" s="14" t="str">
        <f>Source!FU158</f>
        <v>*0.85</v>
      </c>
      <c r="H207" s="16">
        <f>Y207</f>
        <v>14.12</v>
      </c>
      <c r="I207" s="14" t="str">
        <f>Source!FW158</f>
        <v>((*0.8))</v>
      </c>
      <c r="J207" s="16">
        <f>Source!AU158</f>
        <v>34</v>
      </c>
      <c r="K207" s="16">
        <f>Source!Y158</f>
        <v>199.13</v>
      </c>
      <c r="L207" s="14"/>
      <c r="Y207">
        <f>ROUND((Source!FY158/100)*(ROUND((Source!CT158/IF(Source!BA158&lt;&gt;0,Source!BA158,1)*Source!I158),2)+ROUND((Source!CS158/IF(Source!BS158&lt;&gt;0,Source!BS158,1)*Source!I158),2)),2)</f>
        <v>14.12</v>
      </c>
    </row>
    <row r="208" spans="1:12" ht="15">
      <c r="A208" s="34"/>
      <c r="B208" s="34"/>
      <c r="C208" s="34" t="s">
        <v>394</v>
      </c>
      <c r="D208" s="35" t="s">
        <v>395</v>
      </c>
      <c r="E208" s="34">
        <f>Source!AQ158</f>
        <v>15.08</v>
      </c>
      <c r="F208" s="34"/>
      <c r="G208" s="36">
        <f>Source!DI158</f>
      </c>
      <c r="H208" s="34"/>
      <c r="I208" s="34"/>
      <c r="J208" s="34"/>
      <c r="K208" s="34"/>
      <c r="L208" s="37">
        <f>Source!U158</f>
        <v>0.6998628</v>
      </c>
    </row>
    <row r="209" spans="1:23" ht="15.75">
      <c r="A209" s="14"/>
      <c r="B209" s="14"/>
      <c r="C209" s="14"/>
      <c r="D209" s="14"/>
      <c r="E209" s="14"/>
      <c r="F209" s="14"/>
      <c r="G209" s="14"/>
      <c r="H209" s="38">
        <f>ROUND((Source!CT158/IF(Source!BA158&lt;&gt;0,Source!BA158,1)*Source!I158),2)+ROUND((Source!CR158/IF(Source!BB158&lt;&gt;0,Source!BB158,1)*Source!I158),2)+H205+H206+H207</f>
        <v>244.18</v>
      </c>
      <c r="I209" s="39"/>
      <c r="J209" s="39"/>
      <c r="K209" s="38">
        <f>Source!S158+Source!Q158+K205+K206+K207</f>
        <v>2444.1200000000003</v>
      </c>
      <c r="L209" s="38">
        <f>Source!U158</f>
        <v>0.6998628</v>
      </c>
      <c r="M209" s="33">
        <f>H209</f>
        <v>244.18</v>
      </c>
      <c r="N209">
        <f>ROUND((Source!CT158/IF(Source!BA158&lt;&gt;0,Source!BA158,1)*Source!I158),2)</f>
        <v>5.46</v>
      </c>
      <c r="O209">
        <f>IF(Source!BI158=1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244.18087785</v>
      </c>
      <c r="P209">
        <f>IF(Source!BI158=2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Q209">
        <f>IF(Source!BI158=3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R209">
        <f>IF(Source!BI158=4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S209">
        <f>IF(Source!BI158=1,Source!O158+Source!X158+Source!Y158,0)</f>
        <v>2444.12</v>
      </c>
      <c r="T209">
        <f>IF(Source!BI158=2,Source!O158+Source!X158+Source!Y158,0)</f>
        <v>0</v>
      </c>
      <c r="U209">
        <f>IF(Source!BI158=3,Source!O158+Source!X158+Source!Y158,0)</f>
        <v>0</v>
      </c>
      <c r="V209">
        <f>IF(Source!BI158=4,Source!O158+Source!X158+Source!Y158,0)</f>
        <v>0</v>
      </c>
      <c r="W209">
        <f>ROUND((Source!CS158/IF(Source!BS158&lt;&gt;0,Source!BS158,1)*Source!I158),2)</f>
        <v>27.76</v>
      </c>
    </row>
    <row r="210" spans="1:12" ht="30">
      <c r="A210" s="29" t="str">
        <f>Source!E159</f>
        <v>18</v>
      </c>
      <c r="B210" s="29" t="str">
        <f>Source!F159</f>
        <v>Техчасть индексов</v>
      </c>
      <c r="C210" s="30" t="str">
        <f>Source!G159</f>
        <v>Вывоз грунта на 10 км</v>
      </c>
      <c r="D210" s="31" t="str">
        <f>Source!H159</f>
        <v>т</v>
      </c>
      <c r="E210" s="14">
        <f>ROUND(Source!I159,6)</f>
        <v>81</v>
      </c>
      <c r="F210" s="16">
        <f>IF(Source!AK159&lt;&gt;0,Source!AK159,Source!AL159+Source!AM159+Source!AO159)</f>
        <v>14.63</v>
      </c>
      <c r="G210" s="14"/>
      <c r="H210" s="14"/>
      <c r="I210" s="32">
        <f>IF(Source!BO159&lt;&gt;"",Source!BO159,"")</f>
      </c>
      <c r="J210" s="14"/>
      <c r="K210" s="14"/>
      <c r="L210" s="14"/>
    </row>
    <row r="211" spans="1:12" ht="15">
      <c r="A211" s="34"/>
      <c r="B211" s="34"/>
      <c r="C211" s="34" t="s">
        <v>58</v>
      </c>
      <c r="D211" s="34"/>
      <c r="E211" s="34"/>
      <c r="F211" s="37">
        <f>Source!AM159</f>
        <v>14.63</v>
      </c>
      <c r="G211" s="36">
        <f>Source!DE159</f>
      </c>
      <c r="H211" s="37">
        <f>ROUND((Source!CR159/IF(Source!BB159&lt;&gt;0,Source!BB159,1)*Source!I159),2)</f>
        <v>1185.03</v>
      </c>
      <c r="I211" s="34"/>
      <c r="J211" s="34">
        <f>Source!BB159</f>
        <v>5.32</v>
      </c>
      <c r="K211" s="37">
        <f>Source!Q159</f>
        <v>6304.36</v>
      </c>
      <c r="L211" s="34"/>
    </row>
    <row r="212" spans="1:23" ht="15.75">
      <c r="A212" s="14"/>
      <c r="B212" s="14"/>
      <c r="C212" s="14"/>
      <c r="D212" s="14"/>
      <c r="E212" s="14"/>
      <c r="F212" s="14"/>
      <c r="G212" s="14"/>
      <c r="H212" s="38">
        <f>ROUND((Source!CT159/IF(Source!BA159&lt;&gt;0,Source!BA159,1)*Source!I159),2)+ROUND((Source!CR159/IF(Source!BB159&lt;&gt;0,Source!BB159,1)*Source!I159),2)</f>
        <v>1185.03</v>
      </c>
      <c r="I212" s="39"/>
      <c r="J212" s="39"/>
      <c r="K212" s="38">
        <f>Source!S159+Source!Q159</f>
        <v>6304.36</v>
      </c>
      <c r="L212" s="38">
        <f>Source!U159</f>
        <v>0</v>
      </c>
      <c r="M212" s="33">
        <f>H212</f>
        <v>1185.03</v>
      </c>
      <c r="N212">
        <f>ROUND((Source!CT159/IF(Source!BA159&lt;&gt;0,Source!BA159,1)*Source!I159),2)</f>
        <v>0</v>
      </c>
      <c r="O212">
        <f>IF(Source!BI159=1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P212">
        <f>IF(Source!BI159=2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Q212">
        <f>IF(Source!BI159=3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R212">
        <f>IF(Source!BI159=4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1185.03</v>
      </c>
      <c r="S212">
        <f>IF(Source!BI159=1,Source!O159+Source!X159+Source!Y159,0)</f>
        <v>0</v>
      </c>
      <c r="T212">
        <f>IF(Source!BI159=2,Source!O159+Source!X159+Source!Y159,0)</f>
        <v>0</v>
      </c>
      <c r="U212">
        <f>IF(Source!BI159=3,Source!O159+Source!X159+Source!Y159,0)</f>
        <v>0</v>
      </c>
      <c r="V212">
        <f>IF(Source!BI159=4,Source!O159+Source!X159+Source!Y159,0)</f>
        <v>6304.36</v>
      </c>
      <c r="W212">
        <f>ROUND((Source!CS159/IF(Source!BS159&lt;&gt;0,Source!BS159,1)*Source!I159),2)</f>
        <v>0</v>
      </c>
    </row>
    <row r="213" spans="1:12" ht="45">
      <c r="A213" s="29" t="str">
        <f>Source!E160</f>
        <v>19</v>
      </c>
      <c r="B213" s="29" t="str">
        <f>Source!F160</f>
        <v>27-04-001-1</v>
      </c>
      <c r="C213" s="30" t="str">
        <f>Source!G160</f>
        <v>Устройство подстилающих и выравнивающих слоев оснований из песка</v>
      </c>
      <c r="D213" s="31" t="str">
        <f>Source!H160</f>
        <v>100 м3</v>
      </c>
      <c r="E213" s="14">
        <f>ROUND(Source!I160,6)</f>
        <v>0.2652</v>
      </c>
      <c r="F213" s="16">
        <f>IF(Source!AK160&lt;&gt;0,Source!AK160,Source!AL160+Source!AM160+Source!AO160)</f>
        <v>2324.46</v>
      </c>
      <c r="G213" s="14"/>
      <c r="H213" s="14"/>
      <c r="I213" s="32" t="str">
        <f>IF(Source!BO160&lt;&gt;"",Source!BO160,"")</f>
        <v>27-04-001-1</v>
      </c>
      <c r="J213" s="14"/>
      <c r="K213" s="14"/>
      <c r="L213" s="14"/>
    </row>
    <row r="214" spans="1:12" ht="15">
      <c r="A214" s="14"/>
      <c r="B214" s="14"/>
      <c r="C214" s="14" t="s">
        <v>391</v>
      </c>
      <c r="D214" s="14"/>
      <c r="E214" s="14"/>
      <c r="F214" s="16">
        <f>Source!AO160</f>
        <v>126.07</v>
      </c>
      <c r="G214" s="32">
        <f>Source!DG160</f>
      </c>
      <c r="H214" s="16">
        <f>ROUND((Source!CT160/IF(Source!BA160&lt;&gt;0,Source!BA160,1)*Source!I160),2)</f>
        <v>33.43</v>
      </c>
      <c r="I214" s="14"/>
      <c r="J214" s="14">
        <f>Source!BA160</f>
        <v>17.84</v>
      </c>
      <c r="K214" s="16">
        <f>Source!S160</f>
        <v>596.46</v>
      </c>
      <c r="L214" s="14"/>
    </row>
    <row r="215" spans="1:12" ht="15">
      <c r="A215" s="14"/>
      <c r="B215" s="14"/>
      <c r="C215" s="14" t="s">
        <v>58</v>
      </c>
      <c r="D215" s="14"/>
      <c r="E215" s="14"/>
      <c r="F215" s="16">
        <f>Source!AM160</f>
        <v>2186.19</v>
      </c>
      <c r="G215" s="32">
        <f>Source!DE160</f>
      </c>
      <c r="H215" s="16">
        <f>ROUND((Source!CR160/IF(Source!BB160&lt;&gt;0,Source!BB160,1)*Source!I160),2)</f>
        <v>579.78</v>
      </c>
      <c r="I215" s="14"/>
      <c r="J215" s="14">
        <f>Source!BB160</f>
        <v>5.79</v>
      </c>
      <c r="K215" s="16">
        <f>Source!Q160</f>
        <v>3356.91</v>
      </c>
      <c r="L215" s="14"/>
    </row>
    <row r="216" spans="1:12" ht="15">
      <c r="A216" s="14"/>
      <c r="B216" s="14"/>
      <c r="C216" s="14" t="s">
        <v>396</v>
      </c>
      <c r="D216" s="14"/>
      <c r="E216" s="14"/>
      <c r="F216" s="16">
        <f>Source!AN160</f>
        <v>177.53</v>
      </c>
      <c r="G216" s="32">
        <f>Source!DF160</f>
      </c>
      <c r="H216" s="40">
        <f>ROUND((Source!CS160/IF(Source!BS160&lt;&gt;0,Source!BS160,1)*Source!I160),2)</f>
        <v>47.08</v>
      </c>
      <c r="I216" s="14"/>
      <c r="J216" s="14">
        <f>Source!BS160</f>
        <v>17.84</v>
      </c>
      <c r="K216" s="40">
        <f>Source!R160</f>
        <v>839.92</v>
      </c>
      <c r="L216" s="14"/>
    </row>
    <row r="217" spans="1:12" ht="15">
      <c r="A217" s="14"/>
      <c r="B217" s="14"/>
      <c r="C217" s="14" t="s">
        <v>397</v>
      </c>
      <c r="D217" s="14"/>
      <c r="E217" s="14"/>
      <c r="F217" s="16">
        <f>Source!AL160</f>
        <v>12.2</v>
      </c>
      <c r="G217" s="32">
        <f>Source!DD160</f>
      </c>
      <c r="H217" s="16">
        <f>ROUND((Source!CQ160/IF(Source!BC160&lt;&gt;0,Source!BC160,1)*Source!I160),2)</f>
        <v>3.24</v>
      </c>
      <c r="I217" s="14"/>
      <c r="J217" s="14">
        <f>Source!BC160</f>
        <v>4.95</v>
      </c>
      <c r="K217" s="16">
        <f>Source!P160</f>
        <v>16.02</v>
      </c>
      <c r="L217" s="14"/>
    </row>
    <row r="218" spans="1:24" ht="15">
      <c r="A218" s="14"/>
      <c r="B218" s="14"/>
      <c r="C218" s="14" t="s">
        <v>392</v>
      </c>
      <c r="D218" s="17" t="s">
        <v>393</v>
      </c>
      <c r="E218" s="14"/>
      <c r="F218" s="16">
        <f>Source!BZ160</f>
        <v>142</v>
      </c>
      <c r="G218" s="14"/>
      <c r="H218" s="16">
        <f>X218+X221</f>
        <v>114.32</v>
      </c>
      <c r="I218" s="14" t="str">
        <f>Source!FV160</f>
        <v>((*0.85))</v>
      </c>
      <c r="J218" s="16">
        <f>Source!AT160</f>
        <v>121</v>
      </c>
      <c r="K218" s="16">
        <f>Source!X160+Source!X161</f>
        <v>1738.02</v>
      </c>
      <c r="L218" s="14"/>
      <c r="X218">
        <f>ROUND((Source!FX160/100)*(ROUND((Source!CT160/IF(Source!BA160&lt;&gt;0,Source!BA160,1)*Source!I160),2)+ROUND((Source!CS160/IF(Source!BS160&lt;&gt;0,Source!BS160,1)*Source!I160),2)),2)</f>
        <v>114.32</v>
      </c>
    </row>
    <row r="219" spans="1:25" ht="15">
      <c r="A219" s="14"/>
      <c r="B219" s="14"/>
      <c r="C219" s="14" t="s">
        <v>74</v>
      </c>
      <c r="D219" s="17" t="s">
        <v>393</v>
      </c>
      <c r="E219" s="14"/>
      <c r="F219" s="16">
        <f>Source!CA160</f>
        <v>95</v>
      </c>
      <c r="G219" s="14" t="str">
        <f>Source!FU160</f>
        <v>*0.85</v>
      </c>
      <c r="H219" s="16">
        <f>Y219+Y221</f>
        <v>65.01</v>
      </c>
      <c r="I219" s="14" t="str">
        <f>Source!FW160</f>
        <v>((*0.8))</v>
      </c>
      <c r="J219" s="16">
        <f>Source!AU160</f>
        <v>65</v>
      </c>
      <c r="K219" s="16">
        <f>Source!Y160+Source!Y161</f>
        <v>933.65</v>
      </c>
      <c r="L219" s="14"/>
      <c r="Y219">
        <f>ROUND((Source!FY160/100)*(ROUND((Source!CT160/IF(Source!BA160&lt;&gt;0,Source!BA160,1)*Source!I160),2)+ROUND((Source!CS160/IF(Source!BS160&lt;&gt;0,Source!BS160,1)*Source!I160),2)),2)</f>
        <v>65.01</v>
      </c>
    </row>
    <row r="220" spans="1:12" ht="15">
      <c r="A220" s="14"/>
      <c r="B220" s="14"/>
      <c r="C220" s="14" t="s">
        <v>394</v>
      </c>
      <c r="D220" s="17" t="s">
        <v>395</v>
      </c>
      <c r="E220" s="14">
        <f>Source!AQ160</f>
        <v>15.72</v>
      </c>
      <c r="F220" s="14"/>
      <c r="G220" s="32">
        <f>Source!DI160</f>
      </c>
      <c r="H220" s="14"/>
      <c r="I220" s="14"/>
      <c r="J220" s="14"/>
      <c r="K220" s="14"/>
      <c r="L220" s="16">
        <f>Source!U160</f>
        <v>4.168944</v>
      </c>
    </row>
    <row r="221" spans="1:25" ht="30">
      <c r="A221" s="42"/>
      <c r="B221" s="42" t="str">
        <f>Source!F161</f>
        <v>408-0122</v>
      </c>
      <c r="C221" s="43" t="str">
        <f>Source!G161</f>
        <v>Песок природный для строительных работ средний</v>
      </c>
      <c r="D221" s="44" t="str">
        <f>Source!H161</f>
        <v>м3</v>
      </c>
      <c r="E221" s="34">
        <f>ROUND(Source!I161,6)</f>
        <v>29.172</v>
      </c>
      <c r="F221" s="37">
        <f>IF(Source!AL161=0,Source!AK161,Source!AL161)</f>
        <v>55.26</v>
      </c>
      <c r="G221" s="36">
        <f>Source!DD161</f>
      </c>
      <c r="H221" s="45">
        <f>ROUND((Source!CR161/IF(Source!BB161&lt;&gt;0,Source!BB161,1)*Source!I161),2)+ROUND((Source!CQ161/IF(Source!BC161&lt;&gt;0,Source!BC161,1)*Source!I161),2)+ROUND((Source!CT161/IF(Source!BA161&lt;&gt;0,Source!BA161,1)*Source!I161),2)</f>
        <v>1612.04</v>
      </c>
      <c r="I221" s="36" t="str">
        <f>IF(Source!BO161&lt;&gt;"",Source!BO161,"")</f>
        <v>408-0122</v>
      </c>
      <c r="J221" s="34">
        <f>Source!BC161</f>
        <v>9.25</v>
      </c>
      <c r="K221" s="37">
        <f>Source!O161</f>
        <v>14911.41</v>
      </c>
      <c r="L221" s="34"/>
      <c r="N221">
        <f>ROUND((Source!CT161/IF(Source!BA161&lt;&gt;0,Source!BA161,1)*Source!I161),2)</f>
        <v>0</v>
      </c>
      <c r="O221">
        <f>IF(Source!BI161=1,(ROUND((Source!CR161/IF(Source!BB161&lt;&gt;0,Source!BB161,1)*Source!I161),2)+ROUND((Source!CQ161/IF(Source!BC161&lt;&gt;0,Source!BC161,1)*Source!I161),2)+ROUND((Source!CT161/IF(Source!BA161&lt;&gt;0,Source!BA161,1)*Source!I161),2)),0)</f>
        <v>1612.04</v>
      </c>
      <c r="P221">
        <f>IF(Source!BI161=2,(ROUND((Source!CR161/IF(Source!BB161&lt;&gt;0,Source!BB161,1)*Source!I161),2)+ROUND((Source!CQ161/IF(Source!BC161&lt;&gt;0,Source!BC161,1)*Source!I161),2)+ROUND((Source!CT161/IF(Source!BA161&lt;&gt;0,Source!BA161,1)*Source!I161),2)),0)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Q221">
        <f>IF(Source!BI161=3,(ROUND((Source!CR161/IF(Source!BB161&lt;&gt;0,Source!BB161,1)*Source!I161),2)+ROUND((Source!CQ161/IF(Source!BC161&lt;&gt;0,Source!BC161,1)*Source!I161),2)+ROUND((Source!CT161/IF(Source!BA161&lt;&gt;0,Source!BA161,1)*Source!I161),2)),0)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R221">
        <f>IF(Source!BI161=4,(ROUND((Source!CR161/IF(Source!BB161&lt;&gt;0,Source!BB161,1)*Source!I161),2)+ROUND((Source!CQ161/IF(Source!BC161&lt;&gt;0,Source!BC161,1)*Source!I161),2)+ROUND((Source!CT161/IF(Source!BA161&lt;&gt;0,Source!BA161,1)*Source!I161),2)),0)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S221">
        <f>IF(Source!BI161=1,Source!O161+Source!X161+Source!Y161,0)</f>
        <v>14911.41</v>
      </c>
      <c r="T221">
        <f>IF(Source!BI161=2,Source!O161+Source!X161+Source!Y161,0)</f>
        <v>0</v>
      </c>
      <c r="U221">
        <f>IF(Source!BI161=3,Source!O161+Source!X161+Source!Y161,0)</f>
        <v>0</v>
      </c>
      <c r="V221">
        <f>IF(Source!BI161=4,Source!O161+Source!X161+Source!Y161,0)</f>
        <v>0</v>
      </c>
      <c r="W221">
        <f>ROUND((Source!CS161/IF(Source!BS161&lt;&gt;0,Source!BS161,1)*Source!I161),2)</f>
        <v>0</v>
      </c>
      <c r="X221">
        <f>ROUND((Source!FX161/100)*(ROUND((Source!CT161/IF(Source!BA161&lt;&gt;0,Source!BA161,1)*Source!I161),2)+ROUND((Source!CS161/IF(Source!BS161&lt;&gt;0,Source!BS161,1)*Source!I161),2)),2)</f>
        <v>0</v>
      </c>
      <c r="Y221">
        <f>ROUND((Source!FY161/100)*(ROUND((Source!CT161/IF(Source!BA161&lt;&gt;0,Source!BA161,1)*Source!I161),2)+ROUND((Source!CS161/IF(Source!BS161&lt;&gt;0,Source!BS161,1)*Source!I161),2)),2)</f>
        <v>0</v>
      </c>
    </row>
    <row r="222" spans="1:23" ht="15.75">
      <c r="A222" s="14"/>
      <c r="B222" s="14"/>
      <c r="C222" s="14"/>
      <c r="D222" s="14"/>
      <c r="E222" s="14"/>
      <c r="F222" s="14"/>
      <c r="G222" s="14"/>
      <c r="H222" s="38">
        <f>ROUND((Source!CT160/IF(Source!BA160&lt;&gt;0,Source!BA160,1)*Source!I160),2)+ROUND((Source!CR160/IF(Source!BB160&lt;&gt;0,Source!BB160,1)*Source!I160),2)+H217+H218+H219+H221</f>
        <v>2407.8199999999997</v>
      </c>
      <c r="I222" s="39"/>
      <c r="J222" s="39"/>
      <c r="K222" s="38">
        <f>Source!S160+Source!Q160+K217+K218+K219+K221</f>
        <v>21552.47</v>
      </c>
      <c r="L222" s="38">
        <f>Source!U160</f>
        <v>4.168944</v>
      </c>
      <c r="M222" s="33">
        <f>H222</f>
        <v>2407.8199999999997</v>
      </c>
      <c r="N222">
        <f>ROUND((Source!CT160/IF(Source!BA160&lt;&gt;0,Source!BA160,1)*Source!I160),2)</f>
        <v>33.43</v>
      </c>
      <c r="O222">
        <f>IF(Source!BI160=1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795.7933308000001</v>
      </c>
      <c r="P222">
        <f>IF(Source!BI160=2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Q222">
        <f>IF(Source!BI160=3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R222">
        <f>IF(Source!BI160=4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S222">
        <f>IF(Source!BI160=1,Source!O160+Source!X160+Source!Y160,0)</f>
        <v>6641.0599999999995</v>
      </c>
      <c r="T222">
        <f>IF(Source!BI160=2,Source!O160+Source!X160+Source!Y160,0)</f>
        <v>0</v>
      </c>
      <c r="U222">
        <f>IF(Source!BI160=3,Source!O160+Source!X160+Source!Y160,0)</f>
        <v>0</v>
      </c>
      <c r="V222">
        <f>IF(Source!BI160=4,Source!O160+Source!X160+Source!Y160,0)</f>
        <v>0</v>
      </c>
      <c r="W222">
        <f>ROUND((Source!CS160/IF(Source!BS160&lt;&gt;0,Source!BS160,1)*Source!I160),2)</f>
        <v>47.08</v>
      </c>
    </row>
    <row r="223" spans="1:12" ht="45">
      <c r="A223" s="29" t="str">
        <f>Source!E162</f>
        <v>20</v>
      </c>
      <c r="B223" s="29" t="str">
        <f>Source!F162</f>
        <v>27-04-001-4</v>
      </c>
      <c r="C223" s="30" t="str">
        <f>Source!G162</f>
        <v>Устройство подстилающих и выравнивающих слоев оснований из щебня</v>
      </c>
      <c r="D223" s="31" t="str">
        <f>Source!H162</f>
        <v>100 м3</v>
      </c>
      <c r="E223" s="14">
        <f>ROUND(Source!I162,6)</f>
        <v>0.1326</v>
      </c>
      <c r="F223" s="16">
        <f>IF(Source!AK162&lt;&gt;0,Source!AK162,Source!AL162+Source!AM162+Source!AO162)</f>
        <v>3578.4199999999996</v>
      </c>
      <c r="G223" s="14"/>
      <c r="H223" s="14"/>
      <c r="I223" s="32" t="str">
        <f>IF(Source!BO162&lt;&gt;"",Source!BO162,"")</f>
        <v>27-04-001-4</v>
      </c>
      <c r="J223" s="14"/>
      <c r="K223" s="14"/>
      <c r="L223" s="14"/>
    </row>
    <row r="224" spans="1:12" ht="15">
      <c r="A224" s="14"/>
      <c r="B224" s="14"/>
      <c r="C224" s="14" t="s">
        <v>391</v>
      </c>
      <c r="D224" s="14"/>
      <c r="E224" s="14"/>
      <c r="F224" s="16">
        <f>Source!AO162</f>
        <v>195.7</v>
      </c>
      <c r="G224" s="32">
        <f>Source!DG162</f>
      </c>
      <c r="H224" s="16">
        <f>ROUND((Source!CT162/IF(Source!BA162&lt;&gt;0,Source!BA162,1)*Source!I162),2)</f>
        <v>25.95</v>
      </c>
      <c r="I224" s="14"/>
      <c r="J224" s="14">
        <f>Source!BA162</f>
        <v>17.84</v>
      </c>
      <c r="K224" s="16">
        <f>Source!S162</f>
        <v>462.94</v>
      </c>
      <c r="L224" s="14"/>
    </row>
    <row r="225" spans="1:12" ht="15">
      <c r="A225" s="14"/>
      <c r="B225" s="14"/>
      <c r="C225" s="14" t="s">
        <v>58</v>
      </c>
      <c r="D225" s="14"/>
      <c r="E225" s="14"/>
      <c r="F225" s="16">
        <f>Source!AM162</f>
        <v>3365.64</v>
      </c>
      <c r="G225" s="32">
        <f>Source!DE162</f>
      </c>
      <c r="H225" s="16">
        <f>ROUND((Source!CR162/IF(Source!BB162&lt;&gt;0,Source!BB162,1)*Source!I162),2)</f>
        <v>446.28</v>
      </c>
      <c r="I225" s="14"/>
      <c r="J225" s="14">
        <f>Source!BB162</f>
        <v>6</v>
      </c>
      <c r="K225" s="16">
        <f>Source!Q162</f>
        <v>2677.7</v>
      </c>
      <c r="L225" s="14"/>
    </row>
    <row r="226" spans="1:12" ht="15">
      <c r="A226" s="14"/>
      <c r="B226" s="14"/>
      <c r="C226" s="14" t="s">
        <v>396</v>
      </c>
      <c r="D226" s="14"/>
      <c r="E226" s="14"/>
      <c r="F226" s="16">
        <f>Source!AN162</f>
        <v>280.98</v>
      </c>
      <c r="G226" s="32">
        <f>Source!DF162</f>
      </c>
      <c r="H226" s="40">
        <f>ROUND((Source!CS162/IF(Source!BS162&lt;&gt;0,Source!BS162,1)*Source!I162),2)</f>
        <v>37.26</v>
      </c>
      <c r="I226" s="14"/>
      <c r="J226" s="14">
        <f>Source!BS162</f>
        <v>17.84</v>
      </c>
      <c r="K226" s="40">
        <f>Source!R162</f>
        <v>664.68</v>
      </c>
      <c r="L226" s="14"/>
    </row>
    <row r="227" spans="1:12" ht="15">
      <c r="A227" s="14"/>
      <c r="B227" s="14"/>
      <c r="C227" s="14" t="s">
        <v>397</v>
      </c>
      <c r="D227" s="14"/>
      <c r="E227" s="14"/>
      <c r="F227" s="16">
        <f>Source!AL162</f>
        <v>17.08</v>
      </c>
      <c r="G227" s="32">
        <f>Source!DD162</f>
      </c>
      <c r="H227" s="16">
        <f>ROUND((Source!CQ162/IF(Source!BC162&lt;&gt;0,Source!BC162,1)*Source!I162),2)</f>
        <v>2.26</v>
      </c>
      <c r="I227" s="14"/>
      <c r="J227" s="14">
        <f>Source!BC162</f>
        <v>4.95</v>
      </c>
      <c r="K227" s="16">
        <f>Source!P162</f>
        <v>11.21</v>
      </c>
      <c r="L227" s="14"/>
    </row>
    <row r="228" spans="1:24" ht="15">
      <c r="A228" s="14"/>
      <c r="B228" s="14"/>
      <c r="C228" s="14" t="s">
        <v>392</v>
      </c>
      <c r="D228" s="17" t="s">
        <v>393</v>
      </c>
      <c r="E228" s="14"/>
      <c r="F228" s="16">
        <f>Source!BZ162</f>
        <v>142</v>
      </c>
      <c r="G228" s="14"/>
      <c r="H228" s="16">
        <f>X228+X231</f>
        <v>89.76</v>
      </c>
      <c r="I228" s="14" t="str">
        <f>Source!FV162</f>
        <v>((*0.85))</v>
      </c>
      <c r="J228" s="16">
        <f>Source!AT162</f>
        <v>121</v>
      </c>
      <c r="K228" s="16">
        <f>Source!X162+Source!X163</f>
        <v>1364.42</v>
      </c>
      <c r="L228" s="14"/>
      <c r="X228">
        <f>ROUND((Source!FX162/100)*(ROUND((Source!CT162/IF(Source!BA162&lt;&gt;0,Source!BA162,1)*Source!I162),2)+ROUND((Source!CS162/IF(Source!BS162&lt;&gt;0,Source!BS162,1)*Source!I162),2)),2)</f>
        <v>89.76</v>
      </c>
    </row>
    <row r="229" spans="1:25" ht="15">
      <c r="A229" s="14"/>
      <c r="B229" s="14"/>
      <c r="C229" s="14" t="s">
        <v>74</v>
      </c>
      <c r="D229" s="17" t="s">
        <v>393</v>
      </c>
      <c r="E229" s="14"/>
      <c r="F229" s="16">
        <f>Source!CA162</f>
        <v>95</v>
      </c>
      <c r="G229" s="14" t="str">
        <f>Source!FU162</f>
        <v>*0.85</v>
      </c>
      <c r="H229" s="16">
        <f>Y229+Y231</f>
        <v>51.04</v>
      </c>
      <c r="I229" s="14" t="str">
        <f>Source!FW162</f>
        <v>((*0.8))</v>
      </c>
      <c r="J229" s="16">
        <f>Source!AU162</f>
        <v>65</v>
      </c>
      <c r="K229" s="16">
        <f>Source!Y162+Source!Y163</f>
        <v>732.95</v>
      </c>
      <c r="L229" s="14"/>
      <c r="Y229">
        <f>ROUND((Source!FY162/100)*(ROUND((Source!CT162/IF(Source!BA162&lt;&gt;0,Source!BA162,1)*Source!I162),2)+ROUND((Source!CS162/IF(Source!BS162&lt;&gt;0,Source!BS162,1)*Source!I162),2)),2)</f>
        <v>51.04</v>
      </c>
    </row>
    <row r="230" spans="1:12" ht="15">
      <c r="A230" s="14"/>
      <c r="B230" s="14"/>
      <c r="C230" s="14" t="s">
        <v>394</v>
      </c>
      <c r="D230" s="17" t="s">
        <v>395</v>
      </c>
      <c r="E230" s="14">
        <f>Source!AQ162</f>
        <v>24.19</v>
      </c>
      <c r="F230" s="14"/>
      <c r="G230" s="32">
        <f>Source!DI162</f>
      </c>
      <c r="H230" s="14"/>
      <c r="I230" s="14"/>
      <c r="J230" s="14"/>
      <c r="K230" s="14"/>
      <c r="L230" s="16">
        <f>Source!U162</f>
        <v>3.2075940000000003</v>
      </c>
    </row>
    <row r="231" spans="1:25" ht="45">
      <c r="A231" s="42"/>
      <c r="B231" s="42" t="str">
        <f>Source!F163</f>
        <v>408-0393</v>
      </c>
      <c r="C231" s="43" t="str">
        <f>Source!G163</f>
        <v>Щебень известняковый для строительных работ марки 600 фракции 40-70 мм</v>
      </c>
      <c r="D231" s="44" t="str">
        <f>Source!H163</f>
        <v>м3</v>
      </c>
      <c r="E231" s="34">
        <f>ROUND(Source!I163,6)</f>
        <v>16.575</v>
      </c>
      <c r="F231" s="37">
        <f>IF(Source!AL163=0,Source!AK163,Source!AL163)</f>
        <v>98.6</v>
      </c>
      <c r="G231" s="36">
        <f>Source!DD163</f>
      </c>
      <c r="H231" s="45">
        <f>ROUND((Source!CR163/IF(Source!BB163&lt;&gt;0,Source!BB163,1)*Source!I163),2)+ROUND((Source!CQ163/IF(Source!BC163&lt;&gt;0,Source!BC163,1)*Source!I163),2)+ROUND((Source!CT163/IF(Source!BA163&lt;&gt;0,Source!BA163,1)*Source!I163),2)</f>
        <v>1634.3</v>
      </c>
      <c r="I231" s="36" t="str">
        <f>IF(Source!BO163&lt;&gt;"",Source!BO163,"")</f>
        <v>408-0393</v>
      </c>
      <c r="J231" s="34">
        <f>Source!BC163</f>
        <v>10.79</v>
      </c>
      <c r="K231" s="37">
        <f>Source!O163</f>
        <v>17634.04</v>
      </c>
      <c r="L231" s="34"/>
      <c r="N231">
        <f>ROUND((Source!CT163/IF(Source!BA163&lt;&gt;0,Source!BA163,1)*Source!I163),2)</f>
        <v>0</v>
      </c>
      <c r="O231">
        <f>IF(Source!BI163=1,(ROUND((Source!CR163/IF(Source!BB163&lt;&gt;0,Source!BB163,1)*Source!I163),2)+ROUND((Source!CQ163/IF(Source!BC163&lt;&gt;0,Source!BC163,1)*Source!I163),2)+ROUND((Source!CT163/IF(Source!BA163&lt;&gt;0,Source!BA163,1)*Source!I163),2)),0)</f>
        <v>1634.3</v>
      </c>
      <c r="P231">
        <f>IF(Source!BI163=2,(ROUND((Source!CR163/IF(Source!BB163&lt;&gt;0,Source!BB163,1)*Source!I163),2)+ROUND((Source!CQ163/IF(Source!BC163&lt;&gt;0,Source!BC163,1)*Source!I163),2)+ROUND((Source!CT163/IF(Source!BA163&lt;&gt;0,Source!BA163,1)*Source!I163),2)),0)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Q231">
        <f>IF(Source!BI163=3,(ROUND((Source!CR163/IF(Source!BB163&lt;&gt;0,Source!BB163,1)*Source!I163),2)+ROUND((Source!CQ163/IF(Source!BC163&lt;&gt;0,Source!BC163,1)*Source!I163),2)+ROUND((Source!CT163/IF(Source!BA163&lt;&gt;0,Source!BA163,1)*Source!I163),2)),0)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R231">
        <f>IF(Source!BI163=4,(ROUND((Source!CR163/IF(Source!BB163&lt;&gt;0,Source!BB163,1)*Source!I163),2)+ROUND((Source!CQ163/IF(Source!BC163&lt;&gt;0,Source!BC163,1)*Source!I163),2)+ROUND((Source!CT163/IF(Source!BA163&lt;&gt;0,Source!BA163,1)*Source!I163),2)),0)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S231">
        <f>IF(Source!BI163=1,Source!O163+Source!X163+Source!Y163,0)</f>
        <v>17634.04</v>
      </c>
      <c r="T231">
        <f>IF(Source!BI163=2,Source!O163+Source!X163+Source!Y163,0)</f>
        <v>0</v>
      </c>
      <c r="U231">
        <f>IF(Source!BI163=3,Source!O163+Source!X163+Source!Y163,0)</f>
        <v>0</v>
      </c>
      <c r="V231">
        <f>IF(Source!BI163=4,Source!O163+Source!X163+Source!Y163,0)</f>
        <v>0</v>
      </c>
      <c r="W231">
        <f>ROUND((Source!CS163/IF(Source!BS163&lt;&gt;0,Source!BS163,1)*Source!I163),2)</f>
        <v>0</v>
      </c>
      <c r="X231">
        <f>ROUND((Source!FX163/100)*(ROUND((Source!CT163/IF(Source!BA163&lt;&gt;0,Source!BA163,1)*Source!I163),2)+ROUND((Source!CS163/IF(Source!BS163&lt;&gt;0,Source!BS163,1)*Source!I163),2)),2)</f>
        <v>0</v>
      </c>
      <c r="Y231">
        <f>ROUND((Source!FY163/100)*(ROUND((Source!CT163/IF(Source!BA163&lt;&gt;0,Source!BA163,1)*Source!I163),2)+ROUND((Source!CS163/IF(Source!BS163&lt;&gt;0,Source!BS163,1)*Source!I163),2)),2)</f>
        <v>0</v>
      </c>
    </row>
    <row r="232" spans="1:23" ht="15.75">
      <c r="A232" s="14"/>
      <c r="B232" s="14"/>
      <c r="C232" s="14"/>
      <c r="D232" s="14"/>
      <c r="E232" s="14"/>
      <c r="F232" s="14"/>
      <c r="G232" s="14"/>
      <c r="H232" s="38">
        <f>ROUND((Source!CT162/IF(Source!BA162&lt;&gt;0,Source!BA162,1)*Source!I162),2)+ROUND((Source!CR162/IF(Source!BB162&lt;&gt;0,Source!BB162,1)*Source!I162),2)+H227+H228+H229+H231</f>
        <v>2249.59</v>
      </c>
      <c r="I232" s="39"/>
      <c r="J232" s="39"/>
      <c r="K232" s="38">
        <f>Source!S162+Source!Q162+K227+K228+K229+K231</f>
        <v>22883.260000000002</v>
      </c>
      <c r="L232" s="38">
        <f>Source!U162</f>
        <v>3.2075940000000003</v>
      </c>
      <c r="M232" s="33">
        <f>H232</f>
        <v>2249.59</v>
      </c>
      <c r="N232">
        <f>ROUND((Source!CT162/IF(Source!BA162&lt;&gt;0,Source!BA162,1)*Source!I162),2)</f>
        <v>25.95</v>
      </c>
      <c r="O232">
        <f>IF(Source!BI162=1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615.29379522</v>
      </c>
      <c r="P232">
        <f>IF(Source!BI162=2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Q232">
        <f>IF(Source!BI162=3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R232">
        <f>IF(Source!BI162=4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S232">
        <f>IF(Source!BI162=1,Source!O162+Source!X162+Source!Y162,0)</f>
        <v>5249.22</v>
      </c>
      <c r="T232">
        <f>IF(Source!BI162=2,Source!O162+Source!X162+Source!Y162,0)</f>
        <v>0</v>
      </c>
      <c r="U232">
        <f>IF(Source!BI162=3,Source!O162+Source!X162+Source!Y162,0)</f>
        <v>0</v>
      </c>
      <c r="V232">
        <f>IF(Source!BI162=4,Source!O162+Source!X162+Source!Y162,0)</f>
        <v>0</v>
      </c>
      <c r="W232">
        <f>ROUND((Source!CS162/IF(Source!BS162&lt;&gt;0,Source!BS162,1)*Source!I162),2)</f>
        <v>37.26</v>
      </c>
    </row>
    <row r="233" spans="1:12" ht="90">
      <c r="A233" s="29" t="str">
        <f>Source!E164</f>
        <v>21</v>
      </c>
      <c r="B233" s="29" t="str">
        <f>Source!F164</f>
        <v>27-06-020-5</v>
      </c>
      <c r="C233" s="30" t="str">
        <f>Source!G164</f>
        <v>Устройство покрытия толщиной 4 см из горячих асфальтобетонных смесей плотных песчаных типа ГД, плотность каменных материалов 2,5-2,9-3 т/м3</v>
      </c>
      <c r="D233" s="31" t="str">
        <f>Source!H164</f>
        <v>1000 м2</v>
      </c>
      <c r="E233" s="14">
        <f>ROUND(Source!I164,6)</f>
        <v>0.1326</v>
      </c>
      <c r="F233" s="16">
        <f>IF(Source!AK164&lt;&gt;0,Source!AK164,Source!AL164+Source!AM164+Source!AO164)</f>
        <v>56333.39</v>
      </c>
      <c r="G233" s="14"/>
      <c r="H233" s="14"/>
      <c r="I233" s="32" t="str">
        <f>IF(Source!BO164&lt;&gt;"",Source!BO164,"")</f>
        <v>27-06-020-5</v>
      </c>
      <c r="J233" s="14"/>
      <c r="K233" s="14"/>
      <c r="L233" s="14"/>
    </row>
    <row r="234" spans="1:12" ht="15">
      <c r="A234" s="14"/>
      <c r="B234" s="14"/>
      <c r="C234" s="14" t="s">
        <v>391</v>
      </c>
      <c r="D234" s="14"/>
      <c r="E234" s="14"/>
      <c r="F234" s="16">
        <f>Source!AO164</f>
        <v>368.45</v>
      </c>
      <c r="G234" s="32">
        <f>Source!DG164</f>
      </c>
      <c r="H234" s="16">
        <f>ROUND((Source!CT164/IF(Source!BA164&lt;&gt;0,Source!BA164,1)*Source!I164),2)</f>
        <v>48.86</v>
      </c>
      <c r="I234" s="14"/>
      <c r="J234" s="14">
        <f>Source!BA164</f>
        <v>17.84</v>
      </c>
      <c r="K234" s="16">
        <f>Source!S164</f>
        <v>871.6</v>
      </c>
      <c r="L234" s="14"/>
    </row>
    <row r="235" spans="1:12" ht="15">
      <c r="A235" s="14"/>
      <c r="B235" s="14"/>
      <c r="C235" s="14" t="s">
        <v>58</v>
      </c>
      <c r="D235" s="14"/>
      <c r="E235" s="14"/>
      <c r="F235" s="16">
        <f>Source!AM164</f>
        <v>2386.22</v>
      </c>
      <c r="G235" s="32">
        <f>Source!DE164</f>
      </c>
      <c r="H235" s="16">
        <f>ROUND((Source!CR164/IF(Source!BB164&lt;&gt;0,Source!BB164,1)*Source!I164),2)</f>
        <v>316.41</v>
      </c>
      <c r="I235" s="14"/>
      <c r="J235" s="14">
        <f>Source!BB164</f>
        <v>4.93</v>
      </c>
      <c r="K235" s="16">
        <f>Source!Q164</f>
        <v>1559.91</v>
      </c>
      <c r="L235" s="14"/>
    </row>
    <row r="236" spans="1:12" ht="15">
      <c r="A236" s="14"/>
      <c r="B236" s="14"/>
      <c r="C236" s="14" t="s">
        <v>396</v>
      </c>
      <c r="D236" s="14"/>
      <c r="E236" s="14"/>
      <c r="F236" s="16">
        <f>Source!AN164</f>
        <v>262.54</v>
      </c>
      <c r="G236" s="32">
        <f>Source!DF164</f>
      </c>
      <c r="H236" s="40">
        <f>ROUND((Source!CS164/IF(Source!BS164&lt;&gt;0,Source!BS164,1)*Source!I164),2)</f>
        <v>34.81</v>
      </c>
      <c r="I236" s="14"/>
      <c r="J236" s="14">
        <f>Source!BS164</f>
        <v>17.84</v>
      </c>
      <c r="K236" s="40">
        <f>Source!R164</f>
        <v>621.06</v>
      </c>
      <c r="L236" s="14"/>
    </row>
    <row r="237" spans="1:12" ht="15">
      <c r="A237" s="14"/>
      <c r="B237" s="14"/>
      <c r="C237" s="14" t="s">
        <v>397</v>
      </c>
      <c r="D237" s="14"/>
      <c r="E237" s="14"/>
      <c r="F237" s="16">
        <f>Source!AL164</f>
        <v>53578.72</v>
      </c>
      <c r="G237" s="32">
        <f>Source!DD164</f>
      </c>
      <c r="H237" s="16">
        <f>ROUND((Source!CQ164/IF(Source!BC164&lt;&gt;0,Source!BC164,1)*Source!I164),2)</f>
        <v>7104.54</v>
      </c>
      <c r="I237" s="14"/>
      <c r="J237" s="14">
        <f>Source!BC164</f>
        <v>4.83</v>
      </c>
      <c r="K237" s="16">
        <f>Source!P164</f>
        <v>34314.92</v>
      </c>
      <c r="L237" s="14"/>
    </row>
    <row r="238" spans="1:24" ht="15">
      <c r="A238" s="14"/>
      <c r="B238" s="14"/>
      <c r="C238" s="14" t="s">
        <v>392</v>
      </c>
      <c r="D238" s="17" t="s">
        <v>393</v>
      </c>
      <c r="E238" s="14"/>
      <c r="F238" s="16">
        <f>Source!BZ164</f>
        <v>142</v>
      </c>
      <c r="G238" s="14"/>
      <c r="H238" s="16">
        <f>X238</f>
        <v>118.81</v>
      </c>
      <c r="I238" s="14" t="str">
        <f>Source!FV164</f>
        <v>((*0.85))</v>
      </c>
      <c r="J238" s="16">
        <f>Source!AT164</f>
        <v>121</v>
      </c>
      <c r="K238" s="16">
        <f>Source!X164</f>
        <v>1806.12</v>
      </c>
      <c r="L238" s="14"/>
      <c r="X238">
        <f>ROUND((Source!FX164/100)*(ROUND((Source!CT164/IF(Source!BA164&lt;&gt;0,Source!BA164,1)*Source!I164),2)+ROUND((Source!CS164/IF(Source!BS164&lt;&gt;0,Source!BS164,1)*Source!I164),2)),2)</f>
        <v>118.81</v>
      </c>
    </row>
    <row r="239" spans="1:25" ht="15">
      <c r="A239" s="14"/>
      <c r="B239" s="14"/>
      <c r="C239" s="14" t="s">
        <v>74</v>
      </c>
      <c r="D239" s="17" t="s">
        <v>393</v>
      </c>
      <c r="E239" s="14"/>
      <c r="F239" s="16">
        <f>Source!CA164</f>
        <v>95</v>
      </c>
      <c r="G239" s="14" t="str">
        <f>Source!FU164</f>
        <v>*0.85</v>
      </c>
      <c r="H239" s="16">
        <f>Y239</f>
        <v>67.56</v>
      </c>
      <c r="I239" s="14" t="str">
        <f>Source!FW164</f>
        <v>((*0.8))</v>
      </c>
      <c r="J239" s="16">
        <f>Source!AU164</f>
        <v>65</v>
      </c>
      <c r="K239" s="16">
        <f>Source!Y164</f>
        <v>970.23</v>
      </c>
      <c r="L239" s="14"/>
      <c r="Y239">
        <f>ROUND((Source!FY164/100)*(ROUND((Source!CT164/IF(Source!BA164&lt;&gt;0,Source!BA164,1)*Source!I164),2)+ROUND((Source!CS164/IF(Source!BS164&lt;&gt;0,Source!BS164,1)*Source!I164),2)),2)</f>
        <v>67.56</v>
      </c>
    </row>
    <row r="240" spans="1:12" ht="15">
      <c r="A240" s="34"/>
      <c r="B240" s="34"/>
      <c r="C240" s="34" t="s">
        <v>394</v>
      </c>
      <c r="D240" s="35" t="s">
        <v>395</v>
      </c>
      <c r="E240" s="34">
        <f>Source!AQ164</f>
        <v>38.3</v>
      </c>
      <c r="F240" s="34"/>
      <c r="G240" s="36">
        <f>Source!DI164</f>
      </c>
      <c r="H240" s="34"/>
      <c r="I240" s="34"/>
      <c r="J240" s="34"/>
      <c r="K240" s="34"/>
      <c r="L240" s="37">
        <f>Source!U164</f>
        <v>5.07858</v>
      </c>
    </row>
    <row r="241" spans="1:23" ht="15.75">
      <c r="A241" s="14"/>
      <c r="B241" s="14"/>
      <c r="C241" s="14"/>
      <c r="D241" s="14"/>
      <c r="E241" s="14"/>
      <c r="F241" s="14"/>
      <c r="G241" s="14"/>
      <c r="H241" s="38">
        <f>ROUND((Source!CT164/IF(Source!BA164&lt;&gt;0,Source!BA164,1)*Source!I164),2)+ROUND((Source!CR164/IF(Source!BB164&lt;&gt;0,Source!BB164,1)*Source!I164),2)+H237+H238+H239</f>
        <v>7656.180000000001</v>
      </c>
      <c r="I241" s="39"/>
      <c r="J241" s="39"/>
      <c r="K241" s="38">
        <f>Source!S164+Source!Q164+K237+K238+K239</f>
        <v>39522.780000000006</v>
      </c>
      <c r="L241" s="38">
        <f>Source!U164</f>
        <v>5.07858</v>
      </c>
      <c r="M241" s="33">
        <f>H241</f>
        <v>7656.180000000001</v>
      </c>
      <c r="N241">
        <f>ROUND((Source!CT164/IF(Source!BA164&lt;&gt;0,Source!BA164,1)*Source!I164),2)</f>
        <v>48.86</v>
      </c>
      <c r="O241">
        <f>IF(Source!BI164=1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7656.180821835</v>
      </c>
      <c r="P241">
        <f>IF(Source!BI164=2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Q241">
        <f>IF(Source!BI164=3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R241">
        <f>IF(Source!BI164=4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S241">
        <f>IF(Source!BI164=1,Source!O164+Source!X164+Source!Y164,0)</f>
        <v>39522.780000000006</v>
      </c>
      <c r="T241">
        <f>IF(Source!BI164=2,Source!O164+Source!X164+Source!Y164,0)</f>
        <v>0</v>
      </c>
      <c r="U241">
        <f>IF(Source!BI164=3,Source!O164+Source!X164+Source!Y164,0)</f>
        <v>0</v>
      </c>
      <c r="V241">
        <f>IF(Source!BI164=4,Source!O164+Source!X164+Source!Y164,0)</f>
        <v>0</v>
      </c>
      <c r="W241">
        <f>ROUND((Source!CS164/IF(Source!BS164&lt;&gt;0,Source!BS164,1)*Source!I164),2)</f>
        <v>34.81</v>
      </c>
    </row>
    <row r="243" spans="3:23" s="39" customFormat="1" ht="15.75">
      <c r="C243" s="39" t="s">
        <v>176</v>
      </c>
      <c r="G243" s="107">
        <f>SUM(M201:M242)</f>
        <v>13742.800000000001</v>
      </c>
      <c r="H243" s="107"/>
      <c r="J243" s="107">
        <f>ROUND(Source!AB156+Source!AK156+Source!AL156+Source!AE156*0/100,2)</f>
        <v>92706.99</v>
      </c>
      <c r="K243" s="107"/>
      <c r="L243" s="38">
        <f>Source!AH156</f>
        <v>13.15</v>
      </c>
      <c r="N243" s="38">
        <f aca="true" t="shared" si="5" ref="N243:W243">SUM(N201:N242)</f>
        <v>113.7</v>
      </c>
      <c r="O243" s="38">
        <f t="shared" si="5"/>
        <v>12557.788825705</v>
      </c>
      <c r="P243" s="38">
        <f t="shared" si="5"/>
        <v>0</v>
      </c>
      <c r="Q243" s="38">
        <f t="shared" si="5"/>
        <v>0</v>
      </c>
      <c r="R243" s="38">
        <f t="shared" si="5"/>
        <v>1185.03</v>
      </c>
      <c r="S243" s="38">
        <f t="shared" si="5"/>
        <v>86402.63</v>
      </c>
      <c r="T243" s="38">
        <f t="shared" si="5"/>
        <v>0</v>
      </c>
      <c r="U243" s="38">
        <f t="shared" si="5"/>
        <v>0</v>
      </c>
      <c r="V243" s="38">
        <f t="shared" si="5"/>
        <v>6304.36</v>
      </c>
      <c r="W243" s="39">
        <f t="shared" si="5"/>
        <v>146.91</v>
      </c>
    </row>
    <row r="245" spans="3:30" ht="18">
      <c r="C245" s="26" t="s">
        <v>390</v>
      </c>
      <c r="D245" s="106" t="str">
        <f>IF(Source!C12="1",Source!F182,Source!G182)</f>
        <v>Ремонт колодцев</v>
      </c>
      <c r="E245" s="108"/>
      <c r="F245" s="108"/>
      <c r="G245" s="108"/>
      <c r="H245" s="108"/>
      <c r="I245" s="108"/>
      <c r="J245" s="108"/>
      <c r="K245" s="108"/>
      <c r="L245" s="108"/>
      <c r="AD245" s="28" t="str">
        <f>IF(Source!C12="1",Source!F182,Source!G182)</f>
        <v>Ремонт колодцев</v>
      </c>
    </row>
    <row r="247" spans="1:12" ht="15">
      <c r="A247" s="29" t="str">
        <f>Source!E186</f>
        <v>22</v>
      </c>
      <c r="B247" s="29" t="str">
        <f>Source!F186</f>
        <v>66-8-1</v>
      </c>
      <c r="C247" s="30" t="str">
        <f>Source!G186</f>
        <v>Демонтаж чугунных люков</v>
      </c>
      <c r="D247" s="31" t="str">
        <f>Source!H186</f>
        <v>1 люк</v>
      </c>
      <c r="E247" s="14">
        <f>ROUND(Source!I186,6)</f>
        <v>3</v>
      </c>
      <c r="F247" s="16">
        <f>IF(Source!AK186&lt;&gt;0,Source!AK186,Source!AL186+Source!AM186+Source!AO186)</f>
        <v>17.86</v>
      </c>
      <c r="G247" s="14"/>
      <c r="H247" s="14"/>
      <c r="I247" s="32" t="str">
        <f>IF(Source!BO186&lt;&gt;"",Source!BO186,"")</f>
        <v>66-8-1</v>
      </c>
      <c r="J247" s="14"/>
      <c r="K247" s="14"/>
      <c r="L247" s="14"/>
    </row>
    <row r="248" spans="1:12" ht="15">
      <c r="A248" s="14"/>
      <c r="B248" s="14"/>
      <c r="C248" s="14" t="s">
        <v>391</v>
      </c>
      <c r="D248" s="14"/>
      <c r="E248" s="14"/>
      <c r="F248" s="16">
        <f>Source!AO186</f>
        <v>17.86</v>
      </c>
      <c r="G248" s="32">
        <f>Source!DG186</f>
      </c>
      <c r="H248" s="16">
        <f>ROUND((Source!CT186/IF(Source!BA186&lt;&gt;0,Source!BA186,1)*Source!I186),2)</f>
        <v>53.58</v>
      </c>
      <c r="I248" s="14"/>
      <c r="J248" s="14">
        <f>Source!BA186</f>
        <v>17.84</v>
      </c>
      <c r="K248" s="16">
        <f>Source!S186</f>
        <v>955.87</v>
      </c>
      <c r="L248" s="14"/>
    </row>
    <row r="249" spans="1:24" ht="15">
      <c r="A249" s="14"/>
      <c r="B249" s="14"/>
      <c r="C249" s="14" t="s">
        <v>392</v>
      </c>
      <c r="D249" s="17" t="s">
        <v>393</v>
      </c>
      <c r="E249" s="14"/>
      <c r="F249" s="16">
        <f>Source!BZ186</f>
        <v>74</v>
      </c>
      <c r="G249" s="14"/>
      <c r="H249" s="16">
        <f>X249</f>
        <v>39.65</v>
      </c>
      <c r="I249" s="14" t="str">
        <f>Source!FV186</f>
        <v>((*0.85))</v>
      </c>
      <c r="J249" s="16">
        <f>Source!AT186</f>
        <v>63</v>
      </c>
      <c r="K249" s="16">
        <f>Source!X186</f>
        <v>602.2</v>
      </c>
      <c r="L249" s="14"/>
      <c r="X249">
        <f>ROUND((Source!FX186/100)*(ROUND((Source!CT186/IF(Source!BA186&lt;&gt;0,Source!BA186,1)*Source!I186),2)+ROUND((Source!CS186/IF(Source!BS186&lt;&gt;0,Source!BS186,1)*Source!I186),2)),2)</f>
        <v>39.65</v>
      </c>
    </row>
    <row r="250" spans="1:25" ht="15">
      <c r="A250" s="14"/>
      <c r="B250" s="14"/>
      <c r="C250" s="14" t="s">
        <v>74</v>
      </c>
      <c r="D250" s="17" t="s">
        <v>393</v>
      </c>
      <c r="E250" s="14"/>
      <c r="F250" s="16">
        <f>Source!CA186</f>
        <v>50</v>
      </c>
      <c r="G250" s="14"/>
      <c r="H250" s="16">
        <f>Y250</f>
        <v>26.79</v>
      </c>
      <c r="I250" s="14" t="str">
        <f>Source!FW186</f>
        <v>((*0.8))</v>
      </c>
      <c r="J250" s="16">
        <f>Source!AU186</f>
        <v>40</v>
      </c>
      <c r="K250" s="16">
        <f>Source!Y186</f>
        <v>382.35</v>
      </c>
      <c r="L250" s="14"/>
      <c r="Y250">
        <f>ROUND((Source!FY186/100)*(ROUND((Source!CT186/IF(Source!BA186&lt;&gt;0,Source!BA186,1)*Source!I186),2)+ROUND((Source!CS186/IF(Source!BS186&lt;&gt;0,Source!BS186,1)*Source!I186),2)),2)</f>
        <v>26.79</v>
      </c>
    </row>
    <row r="251" spans="1:12" ht="15">
      <c r="A251" s="34"/>
      <c r="B251" s="34"/>
      <c r="C251" s="34" t="s">
        <v>394</v>
      </c>
      <c r="D251" s="35" t="s">
        <v>395</v>
      </c>
      <c r="E251" s="34">
        <f>Source!AQ186</f>
        <v>2.27</v>
      </c>
      <c r="F251" s="34"/>
      <c r="G251" s="36">
        <f>Source!DI186</f>
      </c>
      <c r="H251" s="34"/>
      <c r="I251" s="34"/>
      <c r="J251" s="34"/>
      <c r="K251" s="34"/>
      <c r="L251" s="37">
        <f>Source!U186</f>
        <v>6.8100000000000005</v>
      </c>
    </row>
    <row r="252" spans="1:23" ht="15.75">
      <c r="A252" s="14"/>
      <c r="B252" s="14"/>
      <c r="C252" s="14"/>
      <c r="D252" s="14"/>
      <c r="E252" s="14"/>
      <c r="F252" s="14"/>
      <c r="G252" s="14"/>
      <c r="H252" s="38">
        <f>ROUND((Source!CT186/IF(Source!BA186&lt;&gt;0,Source!BA186,1)*Source!I186),2)+ROUND((Source!CR186/IF(Source!BB186&lt;&gt;0,Source!BB186,1)*Source!I186),2)+H249+H250</f>
        <v>120.01999999999998</v>
      </c>
      <c r="I252" s="39"/>
      <c r="J252" s="39"/>
      <c r="K252" s="38">
        <f>Source!S186+Source!Q186+K249+K250</f>
        <v>1940.42</v>
      </c>
      <c r="L252" s="38">
        <f>Source!U186</f>
        <v>6.8100000000000005</v>
      </c>
      <c r="M252" s="33">
        <f>H252</f>
        <v>120.01999999999998</v>
      </c>
      <c r="N252">
        <f>ROUND((Source!CT186/IF(Source!BA186&lt;&gt;0,Source!BA186,1)*Source!I186),2)</f>
        <v>53.58</v>
      </c>
      <c r="O252">
        <f>IF(Source!BI186=1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120.01919999999998</v>
      </c>
      <c r="P252">
        <f>IF(Source!BI186=2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Q252">
        <f>IF(Source!BI186=3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R252">
        <f>IF(Source!BI186=4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S252">
        <f>IF(Source!BI186=1,Source!O186+Source!X186+Source!Y186,0)</f>
        <v>1940.42</v>
      </c>
      <c r="T252">
        <f>IF(Source!BI186=2,Source!O186+Source!X186+Source!Y186,0)</f>
        <v>0</v>
      </c>
      <c r="U252">
        <f>IF(Source!BI186=3,Source!O186+Source!X186+Source!Y186,0)</f>
        <v>0</v>
      </c>
      <c r="V252">
        <f>IF(Source!BI186=4,Source!O186+Source!X186+Source!Y186,0)</f>
        <v>0</v>
      </c>
      <c r="W252">
        <f>ROUND((Source!CS186/IF(Source!BS186&lt;&gt;0,Source!BS186,1)*Source!I186),2)</f>
        <v>0</v>
      </c>
    </row>
    <row r="253" spans="1:12" ht="30">
      <c r="A253" s="29" t="str">
        <f>Source!E187</f>
        <v>23</v>
      </c>
      <c r="B253" s="29" t="str">
        <f>Source!F187</f>
        <v>07-02-002-1</v>
      </c>
      <c r="C253" s="30" t="str">
        <f>Source!G187</f>
        <v>Установка  колец диаметром до 1000 мм</v>
      </c>
      <c r="D253" s="31" t="str">
        <f>Source!H187</f>
        <v>100 м3</v>
      </c>
      <c r="E253" s="14">
        <f>ROUND(Source!I187,6)</f>
        <v>0.00468</v>
      </c>
      <c r="F253" s="16">
        <f>IF(Source!AK187&lt;&gt;0,Source!AK187,Source!AL187+Source!AM187+Source!AO187)</f>
        <v>30053.649999999998</v>
      </c>
      <c r="G253" s="14"/>
      <c r="H253" s="14"/>
      <c r="I253" s="32" t="str">
        <f>IF(Source!BO187&lt;&gt;"",Source!BO187,"")</f>
        <v>07-02-002-1</v>
      </c>
      <c r="J253" s="14"/>
      <c r="K253" s="14"/>
      <c r="L253" s="14"/>
    </row>
    <row r="254" spans="1:12" ht="15">
      <c r="A254" s="14"/>
      <c r="B254" s="14"/>
      <c r="C254" s="14" t="s">
        <v>391</v>
      </c>
      <c r="D254" s="14"/>
      <c r="E254" s="14"/>
      <c r="F254" s="16">
        <f>Source!AO187</f>
        <v>4911.61</v>
      </c>
      <c r="G254" s="32">
        <f>Source!DG187</f>
      </c>
      <c r="H254" s="16">
        <f>ROUND((Source!CT187/IF(Source!BA187&lt;&gt;0,Source!BA187,1)*Source!I187),2)</f>
        <v>22.99</v>
      </c>
      <c r="I254" s="14"/>
      <c r="J254" s="14">
        <f>Source!BA187</f>
        <v>17.84</v>
      </c>
      <c r="K254" s="16">
        <f>Source!S187</f>
        <v>410.08</v>
      </c>
      <c r="L254" s="14"/>
    </row>
    <row r="255" spans="1:12" ht="15">
      <c r="A255" s="14"/>
      <c r="B255" s="14"/>
      <c r="C255" s="14" t="s">
        <v>58</v>
      </c>
      <c r="D255" s="14"/>
      <c r="E255" s="14"/>
      <c r="F255" s="16">
        <f>Source!AM187</f>
        <v>23787.17</v>
      </c>
      <c r="G255" s="32">
        <f>Source!DE187</f>
      </c>
      <c r="H255" s="16">
        <f>ROUND((Source!CR187/IF(Source!BB187&lt;&gt;0,Source!BB187,1)*Source!I187),2)</f>
        <v>111.32</v>
      </c>
      <c r="I255" s="14"/>
      <c r="J255" s="14">
        <f>Source!BB187</f>
        <v>6.76</v>
      </c>
      <c r="K255" s="16">
        <f>Source!Q187</f>
        <v>752.55</v>
      </c>
      <c r="L255" s="14"/>
    </row>
    <row r="256" spans="1:12" ht="15">
      <c r="A256" s="14"/>
      <c r="B256" s="14"/>
      <c r="C256" s="14" t="s">
        <v>396</v>
      </c>
      <c r="D256" s="14"/>
      <c r="E256" s="14"/>
      <c r="F256" s="16">
        <f>Source!AN187</f>
        <v>2264.76</v>
      </c>
      <c r="G256" s="32">
        <f>Source!DF187</f>
      </c>
      <c r="H256" s="40">
        <f>ROUND((Source!CS187/IF(Source!BS187&lt;&gt;0,Source!BS187,1)*Source!I187),2)</f>
        <v>10.6</v>
      </c>
      <c r="I256" s="14"/>
      <c r="J256" s="14">
        <f>Source!BS187</f>
        <v>17.84</v>
      </c>
      <c r="K256" s="40">
        <f>Source!R187</f>
        <v>189.09</v>
      </c>
      <c r="L256" s="14"/>
    </row>
    <row r="257" spans="1:12" ht="15">
      <c r="A257" s="14"/>
      <c r="B257" s="14"/>
      <c r="C257" s="14" t="s">
        <v>397</v>
      </c>
      <c r="D257" s="14"/>
      <c r="E257" s="14"/>
      <c r="F257" s="16">
        <f>Source!AL187</f>
        <v>1354.87</v>
      </c>
      <c r="G257" s="32">
        <f>Source!DD187</f>
      </c>
      <c r="H257" s="16">
        <f>ROUND((Source!CQ187/IF(Source!BC187&lt;&gt;0,Source!BC187,1)*Source!I187),2)</f>
        <v>6.34</v>
      </c>
      <c r="I257" s="14"/>
      <c r="J257" s="14">
        <f>Source!BC187</f>
        <v>5.62</v>
      </c>
      <c r="K257" s="16">
        <f>Source!P187</f>
        <v>35.64</v>
      </c>
      <c r="L257" s="14"/>
    </row>
    <row r="258" spans="1:24" ht="15">
      <c r="A258" s="14"/>
      <c r="B258" s="14"/>
      <c r="C258" s="14" t="s">
        <v>392</v>
      </c>
      <c r="D258" s="17" t="s">
        <v>393</v>
      </c>
      <c r="E258" s="14"/>
      <c r="F258" s="16">
        <f>Source!BZ187</f>
        <v>130</v>
      </c>
      <c r="G258" s="14"/>
      <c r="H258" s="16">
        <f>X258+X261</f>
        <v>43.67</v>
      </c>
      <c r="I258" s="14" t="str">
        <f>Source!FV187</f>
        <v>((*0.85))</v>
      </c>
      <c r="J258" s="16">
        <f>Source!AT187</f>
        <v>111</v>
      </c>
      <c r="K258" s="16">
        <f>Source!X187+Source!X188</f>
        <v>665.08</v>
      </c>
      <c r="L258" s="14"/>
      <c r="X258">
        <f>ROUND((Source!FX187/100)*(ROUND((Source!CT187/IF(Source!BA187&lt;&gt;0,Source!BA187,1)*Source!I187),2)+ROUND((Source!CS187/IF(Source!BS187&lt;&gt;0,Source!BS187,1)*Source!I187),2)),2)</f>
        <v>43.67</v>
      </c>
    </row>
    <row r="259" spans="1:25" ht="15">
      <c r="A259" s="14"/>
      <c r="B259" s="14"/>
      <c r="C259" s="14" t="s">
        <v>74</v>
      </c>
      <c r="D259" s="17" t="s">
        <v>393</v>
      </c>
      <c r="E259" s="14"/>
      <c r="F259" s="16">
        <f>Source!CA187</f>
        <v>85</v>
      </c>
      <c r="G259" s="14" t="str">
        <f>Source!FU187</f>
        <v>*0.85</v>
      </c>
      <c r="H259" s="16">
        <f>Y259+Y261</f>
        <v>24.27</v>
      </c>
      <c r="I259" s="14" t="str">
        <f>Source!FW187</f>
        <v>((*0.8))</v>
      </c>
      <c r="J259" s="16">
        <f>Source!AU187</f>
        <v>58</v>
      </c>
      <c r="K259" s="16">
        <f>Source!Y187+Source!Y188</f>
        <v>347.52</v>
      </c>
      <c r="L259" s="14"/>
      <c r="Y259">
        <f>ROUND((Source!FY187/100)*(ROUND((Source!CT187/IF(Source!BA187&lt;&gt;0,Source!BA187,1)*Source!I187),2)+ROUND((Source!CS187/IF(Source!BS187&lt;&gt;0,Source!BS187,1)*Source!I187),2)),2)</f>
        <v>24.27</v>
      </c>
    </row>
    <row r="260" spans="1:12" ht="15">
      <c r="A260" s="14"/>
      <c r="B260" s="14"/>
      <c r="C260" s="14" t="s">
        <v>394</v>
      </c>
      <c r="D260" s="17" t="s">
        <v>395</v>
      </c>
      <c r="E260" s="14">
        <f>Source!AQ187</f>
        <v>547.56</v>
      </c>
      <c r="F260" s="14"/>
      <c r="G260" s="32">
        <f>Source!DI187</f>
      </c>
      <c r="H260" s="14"/>
      <c r="I260" s="14"/>
      <c r="J260" s="14"/>
      <c r="K260" s="14"/>
      <c r="L260" s="16">
        <f>Source!U187</f>
        <v>2.5625807999999997</v>
      </c>
    </row>
    <row r="261" spans="1:25" ht="45">
      <c r="A261" s="42"/>
      <c r="B261" s="42" t="str">
        <f>Source!F188</f>
        <v>403-0118</v>
      </c>
      <c r="C261" s="43" t="str">
        <f>Source!G188</f>
        <v>Кольца для колодцев сборные железобетонные диаметром 700 мм</v>
      </c>
      <c r="D261" s="44" t="str">
        <f>Source!H188</f>
        <v>м</v>
      </c>
      <c r="E261" s="34">
        <f>ROUND(Source!I188,6)</f>
        <v>2.25</v>
      </c>
      <c r="F261" s="37">
        <f>IF(Source!AL188=0,Source!AK188,Source!AL188)</f>
        <v>375.59</v>
      </c>
      <c r="G261" s="36">
        <f>Source!DD188</f>
      </c>
      <c r="H261" s="45">
        <f>ROUND((Source!CR188/IF(Source!BB188&lt;&gt;0,Source!BB188,1)*Source!I188),2)+ROUND((Source!CQ188/IF(Source!BC188&lt;&gt;0,Source!BC188,1)*Source!I188),2)+ROUND((Source!CT188/IF(Source!BA188&lt;&gt;0,Source!BA188,1)*Source!I188),2)</f>
        <v>845.08</v>
      </c>
      <c r="I261" s="36" t="str">
        <f>IF(Source!BO188&lt;&gt;"",Source!BO188,"")</f>
        <v>403-0118</v>
      </c>
      <c r="J261" s="34">
        <f>Source!BC188</f>
        <v>3.61</v>
      </c>
      <c r="K261" s="37">
        <f>Source!O188</f>
        <v>3050.73</v>
      </c>
      <c r="L261" s="34"/>
      <c r="N261">
        <f>ROUND((Source!CT188/IF(Source!BA188&lt;&gt;0,Source!BA188,1)*Source!I188),2)</f>
        <v>0</v>
      </c>
      <c r="O261">
        <f>IF(Source!BI188=1,(ROUND((Source!CR188/IF(Source!BB188&lt;&gt;0,Source!BB188,1)*Source!I188),2)+ROUND((Source!CQ188/IF(Source!BC188&lt;&gt;0,Source!BC188,1)*Source!I188),2)+ROUND((Source!CT188/IF(Source!BA188&lt;&gt;0,Source!BA188,1)*Source!I188),2)),0)</f>
        <v>845.08</v>
      </c>
      <c r="P261">
        <f>IF(Source!BI188=2,(ROUND((Source!CR188/IF(Source!BB188&lt;&gt;0,Source!BB188,1)*Source!I188),2)+ROUND((Source!CQ188/IF(Source!BC188&lt;&gt;0,Source!BC188,1)*Source!I188),2)+ROUND((Source!CT188/IF(Source!BA188&lt;&gt;0,Source!BA188,1)*Source!I188),2)),0)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Q261">
        <f>IF(Source!BI188=3,(ROUND((Source!CR188/IF(Source!BB188&lt;&gt;0,Source!BB188,1)*Source!I188),2)+ROUND((Source!CQ188/IF(Source!BC188&lt;&gt;0,Source!BC188,1)*Source!I188),2)+ROUND((Source!CT188/IF(Source!BA188&lt;&gt;0,Source!BA188,1)*Source!I188),2)),0)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R261">
        <f>IF(Source!BI188=4,(ROUND((Source!CR188/IF(Source!BB188&lt;&gt;0,Source!BB188,1)*Source!I188),2)+ROUND((Source!CQ188/IF(Source!BC188&lt;&gt;0,Source!BC188,1)*Source!I188),2)+ROUND((Source!CT188/IF(Source!BA188&lt;&gt;0,Source!BA188,1)*Source!I188),2)),0)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S261">
        <f>IF(Source!BI188=1,Source!O188+Source!X188+Source!Y188,0)</f>
        <v>3050.73</v>
      </c>
      <c r="T261">
        <f>IF(Source!BI188=2,Source!O188+Source!X188+Source!Y188,0)</f>
        <v>0</v>
      </c>
      <c r="U261">
        <f>IF(Source!BI188=3,Source!O188+Source!X188+Source!Y188,0)</f>
        <v>0</v>
      </c>
      <c r="V261">
        <f>IF(Source!BI188=4,Source!O188+Source!X188+Source!Y188,0)</f>
        <v>0</v>
      </c>
      <c r="W261">
        <f>ROUND((Source!CS188/IF(Source!BS188&lt;&gt;0,Source!BS188,1)*Source!I188),2)</f>
        <v>0</v>
      </c>
      <c r="X261">
        <f>ROUND((Source!FX188/100)*(ROUND((Source!CT188/IF(Source!BA188&lt;&gt;0,Source!BA188,1)*Source!I188),2)+ROUND((Source!CS188/IF(Source!BS188&lt;&gt;0,Source!BS188,1)*Source!I188),2)),2)</f>
        <v>0</v>
      </c>
      <c r="Y261">
        <f>ROUND((Source!FY188/100)*(ROUND((Source!CT188/IF(Source!BA188&lt;&gt;0,Source!BA188,1)*Source!I188),2)+ROUND((Source!CS188/IF(Source!BS188&lt;&gt;0,Source!BS188,1)*Source!I188),2)),2)</f>
        <v>0</v>
      </c>
    </row>
    <row r="262" spans="1:23" ht="15.75">
      <c r="A262" s="14"/>
      <c r="B262" s="14"/>
      <c r="C262" s="14"/>
      <c r="D262" s="14"/>
      <c r="E262" s="14"/>
      <c r="F262" s="14"/>
      <c r="G262" s="14"/>
      <c r="H262" s="38">
        <f>ROUND((Source!CT187/IF(Source!BA187&lt;&gt;0,Source!BA187,1)*Source!I187),2)+ROUND((Source!CR187/IF(Source!BB187&lt;&gt;0,Source!BB187,1)*Source!I187),2)+H257+H258+H259+H261</f>
        <v>1053.67</v>
      </c>
      <c r="I262" s="39"/>
      <c r="J262" s="39"/>
      <c r="K262" s="38">
        <f>Source!S187+Source!Q187+K257+K258+K259+K261</f>
        <v>5261.6</v>
      </c>
      <c r="L262" s="38">
        <f>Source!U187</f>
        <v>2.5625807999999997</v>
      </c>
      <c r="M262" s="33">
        <f>H262</f>
        <v>1053.67</v>
      </c>
      <c r="N262">
        <f>ROUND((Source!CT187/IF(Source!BA187&lt;&gt;0,Source!BA187,1)*Source!I187),2)</f>
        <v>22.99</v>
      </c>
      <c r="O262">
        <f>IF(Source!BI187=1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208.57757696099998</v>
      </c>
      <c r="P262">
        <f>IF(Source!BI187=2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Q262">
        <f>IF(Source!BI187=3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R262">
        <f>IF(Source!BI187=4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S262">
        <f>IF(Source!BI187=1,Source!O187+Source!X187+Source!Y187,0)</f>
        <v>2210.87</v>
      </c>
      <c r="T262">
        <f>IF(Source!BI187=2,Source!O187+Source!X187+Source!Y187,0)</f>
        <v>0</v>
      </c>
      <c r="U262">
        <f>IF(Source!BI187=3,Source!O187+Source!X187+Source!Y187,0)</f>
        <v>0</v>
      </c>
      <c r="V262">
        <f>IF(Source!BI187=4,Source!O187+Source!X187+Source!Y187,0)</f>
        <v>0</v>
      </c>
      <c r="W262">
        <f>ROUND((Source!CS187/IF(Source!BS187&lt;&gt;0,Source!BS187,1)*Source!I187),2)</f>
        <v>10.6</v>
      </c>
    </row>
    <row r="263" spans="1:12" ht="30">
      <c r="A263" s="29" t="str">
        <f>Source!E189</f>
        <v>24</v>
      </c>
      <c r="B263" s="29" t="str">
        <f>Source!F189</f>
        <v>23-04-011-1</v>
      </c>
      <c r="C263" s="30" t="str">
        <f>Source!G189</f>
        <v>Установка люка</v>
      </c>
      <c r="D263" s="31" t="str">
        <f>Source!H189</f>
        <v>шт.</v>
      </c>
      <c r="E263" s="14">
        <f>ROUND(Source!I189,6)</f>
        <v>3</v>
      </c>
      <c r="F263" s="16">
        <f>IF(Source!AK189&lt;&gt;0,Source!AK189,Source!AL189+Source!AM189+Source!AO189)</f>
        <v>587.48</v>
      </c>
      <c r="G263" s="14"/>
      <c r="H263" s="14"/>
      <c r="I263" s="32" t="str">
        <f>IF(Source!BO189&lt;&gt;"",Source!BO189,"")</f>
        <v>23-04-011-1</v>
      </c>
      <c r="J263" s="14"/>
      <c r="K263" s="14"/>
      <c r="L263" s="14"/>
    </row>
    <row r="264" spans="1:12" ht="15">
      <c r="A264" s="14"/>
      <c r="B264" s="14"/>
      <c r="C264" s="14" t="s">
        <v>391</v>
      </c>
      <c r="D264" s="14"/>
      <c r="E264" s="14"/>
      <c r="F264" s="16">
        <f>Source!AO189</f>
        <v>11.32</v>
      </c>
      <c r="G264" s="32">
        <f>Source!DG189</f>
      </c>
      <c r="H264" s="16">
        <f>ROUND((Source!CT189/IF(Source!BA189&lt;&gt;0,Source!BA189,1)*Source!I189),2)</f>
        <v>33.96</v>
      </c>
      <c r="I264" s="14"/>
      <c r="J264" s="14">
        <f>Source!BA189</f>
        <v>17.84</v>
      </c>
      <c r="K264" s="16">
        <f>Source!S189</f>
        <v>605.85</v>
      </c>
      <c r="L264" s="14"/>
    </row>
    <row r="265" spans="1:12" ht="15">
      <c r="A265" s="14"/>
      <c r="B265" s="14"/>
      <c r="C265" s="14" t="s">
        <v>58</v>
      </c>
      <c r="D265" s="14"/>
      <c r="E265" s="14"/>
      <c r="F265" s="16">
        <f>Source!AM189</f>
        <v>6.1</v>
      </c>
      <c r="G265" s="32">
        <f>Source!DE189</f>
      </c>
      <c r="H265" s="16">
        <f>ROUND((Source!CR189/IF(Source!BB189&lt;&gt;0,Source!BB189,1)*Source!I189),2)</f>
        <v>18.3</v>
      </c>
      <c r="I265" s="14"/>
      <c r="J265" s="14">
        <f>Source!BB189</f>
        <v>7.46</v>
      </c>
      <c r="K265" s="16">
        <f>Source!Q189</f>
        <v>136.52</v>
      </c>
      <c r="L265" s="14"/>
    </row>
    <row r="266" spans="1:12" ht="15">
      <c r="A266" s="14"/>
      <c r="B266" s="14"/>
      <c r="C266" s="14" t="s">
        <v>397</v>
      </c>
      <c r="D266" s="14"/>
      <c r="E266" s="14"/>
      <c r="F266" s="16">
        <f>Source!AL189</f>
        <v>570.06</v>
      </c>
      <c r="G266" s="32">
        <f>Source!DD189</f>
      </c>
      <c r="H266" s="16">
        <f>ROUND((Source!CQ189/IF(Source!BC189&lt;&gt;0,Source!BC189,1)*Source!I189),2)</f>
        <v>1710.18</v>
      </c>
      <c r="I266" s="14"/>
      <c r="J266" s="14">
        <f>Source!BC189</f>
        <v>5.26</v>
      </c>
      <c r="K266" s="16">
        <f>Source!P189</f>
        <v>8995.55</v>
      </c>
      <c r="L266" s="14"/>
    </row>
    <row r="267" spans="1:24" ht="15">
      <c r="A267" s="14"/>
      <c r="B267" s="14"/>
      <c r="C267" s="14" t="s">
        <v>392</v>
      </c>
      <c r="D267" s="17" t="s">
        <v>393</v>
      </c>
      <c r="E267" s="14"/>
      <c r="F267" s="16">
        <f>Source!BZ189</f>
        <v>130</v>
      </c>
      <c r="G267" s="14"/>
      <c r="H267" s="16">
        <f>X267+X270</f>
        <v>44.15</v>
      </c>
      <c r="I267" s="14" t="str">
        <f>Source!FV189</f>
        <v>((*0.85))</v>
      </c>
      <c r="J267" s="16">
        <f>Source!AT189</f>
        <v>111</v>
      </c>
      <c r="K267" s="16">
        <f>Source!X189+Source!X190</f>
        <v>672.49</v>
      </c>
      <c r="L267" s="14"/>
      <c r="X267">
        <f>ROUND((Source!FX189/100)*(ROUND((Source!CT189/IF(Source!BA189&lt;&gt;0,Source!BA189,1)*Source!I189),2)+ROUND((Source!CS189/IF(Source!BS189&lt;&gt;0,Source!BS189,1)*Source!I189),2)),2)</f>
        <v>44.15</v>
      </c>
    </row>
    <row r="268" spans="1:25" ht="15">
      <c r="A268" s="14"/>
      <c r="B268" s="14"/>
      <c r="C268" s="14" t="s">
        <v>74</v>
      </c>
      <c r="D268" s="17" t="s">
        <v>393</v>
      </c>
      <c r="E268" s="14"/>
      <c r="F268" s="16">
        <f>Source!CA189</f>
        <v>89</v>
      </c>
      <c r="G268" s="14" t="str">
        <f>Source!FU189</f>
        <v>*0.85</v>
      </c>
      <c r="H268" s="16">
        <f>Y268+Y270</f>
        <v>25.69</v>
      </c>
      <c r="I268" s="14" t="str">
        <f>Source!FW189</f>
        <v>((*0.8))</v>
      </c>
      <c r="J268" s="16">
        <f>Source!AU189</f>
        <v>61</v>
      </c>
      <c r="K268" s="16">
        <f>Source!Y189+Source!Y190</f>
        <v>369.57</v>
      </c>
      <c r="L268" s="14"/>
      <c r="Y268">
        <f>ROUND((Source!FY189/100)*(ROUND((Source!CT189/IF(Source!BA189&lt;&gt;0,Source!BA189,1)*Source!I189),2)+ROUND((Source!CS189/IF(Source!BS189&lt;&gt;0,Source!BS189,1)*Source!I189),2)),2)</f>
        <v>25.69</v>
      </c>
    </row>
    <row r="269" spans="1:12" ht="15">
      <c r="A269" s="14"/>
      <c r="B269" s="14"/>
      <c r="C269" s="14" t="s">
        <v>394</v>
      </c>
      <c r="D269" s="17" t="s">
        <v>395</v>
      </c>
      <c r="E269" s="14">
        <f>Source!AQ189</f>
        <v>1.31</v>
      </c>
      <c r="F269" s="14"/>
      <c r="G269" s="32">
        <f>Source!DI189</f>
      </c>
      <c r="H269" s="14"/>
      <c r="I269" s="14"/>
      <c r="J269" s="14"/>
      <c r="K269" s="14"/>
      <c r="L269" s="16">
        <f>Source!U189</f>
        <v>3.93</v>
      </c>
    </row>
    <row r="270" spans="1:25" ht="30">
      <c r="A270" s="42"/>
      <c r="B270" s="42" t="str">
        <f>Source!F190</f>
        <v>101-2536</v>
      </c>
      <c r="C270" s="43" t="str">
        <f>Source!G190</f>
        <v>Люки чугунные тяжелый</v>
      </c>
      <c r="D270" s="44" t="str">
        <f>Source!H190</f>
        <v>шт.</v>
      </c>
      <c r="E270" s="34">
        <f>ROUND(Source!I190,6)</f>
        <v>-3</v>
      </c>
      <c r="F270" s="37">
        <f>IF(Source!AL190=0,Source!AK190,Source!AL190)</f>
        <v>569.53</v>
      </c>
      <c r="G270" s="36">
        <f>Source!DD190</f>
      </c>
      <c r="H270" s="45">
        <f>ROUND((Source!CR190/IF(Source!BB190&lt;&gt;0,Source!BB190,1)*Source!I190),2)+ROUND((Source!CQ190/IF(Source!BC190&lt;&gt;0,Source!BC190,1)*Source!I190),2)+ROUND((Source!CT190/IF(Source!BA190&lt;&gt;0,Source!BA190,1)*Source!I190),2)</f>
        <v>-1708.59</v>
      </c>
      <c r="I270" s="36" t="str">
        <f>IF(Source!BO190&lt;&gt;"",Source!BO190,"")</f>
        <v>101-2536</v>
      </c>
      <c r="J270" s="34">
        <f>Source!BC190</f>
        <v>5.26</v>
      </c>
      <c r="K270" s="37">
        <f>Source!O190</f>
        <v>-8987.18</v>
      </c>
      <c r="L270" s="34"/>
      <c r="N270">
        <f>ROUND((Source!CT190/IF(Source!BA190&lt;&gt;0,Source!BA190,1)*Source!I190),2)</f>
        <v>0</v>
      </c>
      <c r="O270">
        <f>IF(Source!BI190=1,(ROUND((Source!CR190/IF(Source!BB190&lt;&gt;0,Source!BB190,1)*Source!I190),2)+ROUND((Source!CQ190/IF(Source!BC190&lt;&gt;0,Source!BC190,1)*Source!I190),2)+ROUND((Source!CT190/IF(Source!BA190&lt;&gt;0,Source!BA190,1)*Source!I190),2)),0)</f>
        <v>-1708.59</v>
      </c>
      <c r="P270">
        <f>IF(Source!BI190=2,(ROUND((Source!CR190/IF(Source!BB190&lt;&gt;0,Source!BB190,1)*Source!I190),2)+ROUND((Source!CQ190/IF(Source!BC190&lt;&gt;0,Source!BC190,1)*Source!I190),2)+ROUND((Source!CT190/IF(Source!BA190&lt;&gt;0,Source!BA190,1)*Source!I190),2)),0)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Q270">
        <f>IF(Source!BI190=3,(ROUND((Source!CR190/IF(Source!BB190&lt;&gt;0,Source!BB190,1)*Source!I190),2)+ROUND((Source!CQ190/IF(Source!BC190&lt;&gt;0,Source!BC190,1)*Source!I190),2)+ROUND((Source!CT190/IF(Source!BA190&lt;&gt;0,Source!BA190,1)*Source!I190),2)),0)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R270">
        <f>IF(Source!BI190=4,(ROUND((Source!CR190/IF(Source!BB190&lt;&gt;0,Source!BB190,1)*Source!I190),2)+ROUND((Source!CQ190/IF(Source!BC190&lt;&gt;0,Source!BC190,1)*Source!I190),2)+ROUND((Source!CT190/IF(Source!BA190&lt;&gt;0,Source!BA190,1)*Source!I190),2)),0)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S270">
        <f>IF(Source!BI190=1,Source!O190+Source!X190+Source!Y190,0)</f>
        <v>-8987.18</v>
      </c>
      <c r="T270">
        <f>IF(Source!BI190=2,Source!O190+Source!X190+Source!Y190,0)</f>
        <v>0</v>
      </c>
      <c r="U270">
        <f>IF(Source!BI190=3,Source!O190+Source!X190+Source!Y190,0)</f>
        <v>0</v>
      </c>
      <c r="V270">
        <f>IF(Source!BI190=4,Source!O190+Source!X190+Source!Y190,0)</f>
        <v>0</v>
      </c>
      <c r="W270">
        <f>ROUND((Source!CS190/IF(Source!BS190&lt;&gt;0,Source!BS190,1)*Source!I190),2)</f>
        <v>0</v>
      </c>
      <c r="X270">
        <f>ROUND((Source!FX190/100)*(ROUND((Source!CT190/IF(Source!BA190&lt;&gt;0,Source!BA190,1)*Source!I190),2)+ROUND((Source!CS190/IF(Source!BS190&lt;&gt;0,Source!BS190,1)*Source!I190),2)),2)</f>
        <v>0</v>
      </c>
      <c r="Y270">
        <f>ROUND((Source!FY190/100)*(ROUND((Source!CT190/IF(Source!BA190&lt;&gt;0,Source!BA190,1)*Source!I190),2)+ROUND((Source!CS190/IF(Source!BS190&lt;&gt;0,Source!BS190,1)*Source!I190),2)),2)</f>
        <v>0</v>
      </c>
    </row>
    <row r="271" spans="1:23" ht="15.75">
      <c r="A271" s="14"/>
      <c r="B271" s="14"/>
      <c r="C271" s="14"/>
      <c r="D271" s="14"/>
      <c r="E271" s="14"/>
      <c r="F271" s="14"/>
      <c r="G271" s="14"/>
      <c r="H271" s="38">
        <f>ROUND((Source!CT189/IF(Source!BA189&lt;&gt;0,Source!BA189,1)*Source!I189),2)+ROUND((Source!CR189/IF(Source!BB189&lt;&gt;0,Source!BB189,1)*Source!I189),2)+H266+H267+H268+H270</f>
        <v>123.69000000000028</v>
      </c>
      <c r="I271" s="39"/>
      <c r="J271" s="39"/>
      <c r="K271" s="38">
        <f>Source!S189+Source!Q189+K266+K267+K268+K270</f>
        <v>1792.7999999999993</v>
      </c>
      <c r="L271" s="38">
        <f>Source!U189</f>
        <v>3.93</v>
      </c>
      <c r="M271" s="33">
        <f>H271</f>
        <v>123.69000000000028</v>
      </c>
      <c r="N271">
        <f>ROUND((Source!CT189/IF(Source!BA189&lt;&gt;0,Source!BA189,1)*Source!I189),2)</f>
        <v>33.96</v>
      </c>
      <c r="O271">
        <f>IF(Source!BI189=1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1832.2787399999997</v>
      </c>
      <c r="P271">
        <f>IF(Source!BI189=2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Q271">
        <f>IF(Source!BI189=3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R271">
        <f>IF(Source!BI189=4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S271">
        <f>IF(Source!BI189=1,Source!O189+Source!X189+Source!Y189,0)</f>
        <v>10779.98</v>
      </c>
      <c r="T271">
        <f>IF(Source!BI189=2,Source!O189+Source!X189+Source!Y189,0)</f>
        <v>0</v>
      </c>
      <c r="U271">
        <f>IF(Source!BI189=3,Source!O189+Source!X189+Source!Y189,0)</f>
        <v>0</v>
      </c>
      <c r="V271">
        <f>IF(Source!BI189=4,Source!O189+Source!X189+Source!Y189,0)</f>
        <v>0</v>
      </c>
      <c r="W271">
        <f>ROUND((Source!CS189/IF(Source!BS189&lt;&gt;0,Source!BS189,1)*Source!I189),2)</f>
        <v>0</v>
      </c>
    </row>
    <row r="273" spans="3:23" s="39" customFormat="1" ht="15.75">
      <c r="C273" s="39" t="s">
        <v>176</v>
      </c>
      <c r="G273" s="107">
        <f>SUM(M247:M272)</f>
        <v>1297.3800000000003</v>
      </c>
      <c r="H273" s="107"/>
      <c r="J273" s="107">
        <f>ROUND(Source!AB184+Source!AK184+Source!AL184+Source!AE184*0/100,2)</f>
        <v>8994.82</v>
      </c>
      <c r="K273" s="107"/>
      <c r="L273" s="38">
        <f>Source!AH184</f>
        <v>13.3</v>
      </c>
      <c r="N273" s="38">
        <f aca="true" t="shared" si="6" ref="N273:W273">SUM(N247:N272)</f>
        <v>110.53</v>
      </c>
      <c r="O273" s="38">
        <f t="shared" si="6"/>
        <v>1297.365516961</v>
      </c>
      <c r="P273" s="38">
        <f t="shared" si="6"/>
        <v>0</v>
      </c>
      <c r="Q273" s="38">
        <f t="shared" si="6"/>
        <v>0</v>
      </c>
      <c r="R273" s="38">
        <f t="shared" si="6"/>
        <v>0</v>
      </c>
      <c r="S273" s="38">
        <f t="shared" si="6"/>
        <v>8994.82</v>
      </c>
      <c r="T273" s="38">
        <f t="shared" si="6"/>
        <v>0</v>
      </c>
      <c r="U273" s="38">
        <f t="shared" si="6"/>
        <v>0</v>
      </c>
      <c r="V273" s="38">
        <f t="shared" si="6"/>
        <v>0</v>
      </c>
      <c r="W273" s="39">
        <f t="shared" si="6"/>
        <v>10.6</v>
      </c>
    </row>
    <row r="276" spans="3:12" s="46" customFormat="1" ht="18">
      <c r="C276" s="46" t="s">
        <v>398</v>
      </c>
      <c r="G276" s="105">
        <f>G64+G101+G133+G165+G197+G243+G273</f>
        <v>127801.76000000001</v>
      </c>
      <c r="H276" s="105"/>
      <c r="J276" s="105">
        <f>ROUND(Source!O208+Source!X208+Source!Y208+Source!R208*0/100,2)</f>
        <v>866897.72</v>
      </c>
      <c r="K276" s="105"/>
      <c r="L276" s="47">
        <f>Source!U208</f>
        <v>309.56</v>
      </c>
    </row>
    <row r="278" spans="3:11" ht="18">
      <c r="C278" s="46" t="s">
        <v>399</v>
      </c>
      <c r="D278" s="106" t="str">
        <f>Source!G224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E278" s="106"/>
      <c r="F278" s="106"/>
      <c r="G278" s="106"/>
      <c r="H278" s="106"/>
      <c r="I278" s="106"/>
      <c r="J278" s="106"/>
      <c r="K278" s="106"/>
    </row>
    <row r="279" spans="3:12" ht="18">
      <c r="C279" s="102" t="str">
        <f>Source!H239</f>
        <v>Итого</v>
      </c>
      <c r="D279" s="102"/>
      <c r="E279" s="102"/>
      <c r="F279" s="102"/>
      <c r="G279" s="102"/>
      <c r="H279" s="102"/>
      <c r="I279" s="102"/>
      <c r="J279" s="103">
        <f>Source!F239</f>
        <v>866897.72</v>
      </c>
      <c r="K279" s="104"/>
      <c r="L279" s="48"/>
    </row>
    <row r="280" spans="3:12" ht="18">
      <c r="C280" s="102" t="str">
        <f>Source!H240</f>
        <v>НДС 18%</v>
      </c>
      <c r="D280" s="102"/>
      <c r="E280" s="102"/>
      <c r="F280" s="102"/>
      <c r="G280" s="102"/>
      <c r="H280" s="102"/>
      <c r="I280" s="102"/>
      <c r="J280" s="103">
        <f>Source!F240</f>
        <v>156041.59</v>
      </c>
      <c r="K280" s="104"/>
      <c r="L280" s="48"/>
    </row>
    <row r="281" spans="3:12" ht="18">
      <c r="C281" s="102" t="str">
        <f>Source!H241</f>
        <v>Всего</v>
      </c>
      <c r="D281" s="102"/>
      <c r="E281" s="102"/>
      <c r="F281" s="102"/>
      <c r="G281" s="102"/>
      <c r="H281" s="102"/>
      <c r="I281" s="102"/>
      <c r="J281" s="103">
        <f>Source!F241</f>
        <v>1022939.31</v>
      </c>
      <c r="K281" s="104"/>
      <c r="L281" s="48"/>
    </row>
    <row r="283" spans="3:12" s="46" customFormat="1" ht="18">
      <c r="C283" s="46" t="s">
        <v>399</v>
      </c>
      <c r="G283" s="105">
        <f>SUM(M1:M283)</f>
        <v>127801.76</v>
      </c>
      <c r="H283" s="105"/>
      <c r="J283" s="105">
        <f>ROUND(Source!O18+Source!X18+Source!Y18+Source!R18*0/100,2)</f>
        <v>866897.72</v>
      </c>
      <c r="K283" s="105"/>
      <c r="L283" s="47">
        <f>Source!U18</f>
        <v>309.56</v>
      </c>
    </row>
    <row r="285" spans="1:8" ht="12.75">
      <c r="A285" t="s">
        <v>427</v>
      </c>
      <c r="C285" s="51" t="str">
        <f>IF(Source!AS12&lt;&gt;"",Source!AS12," ")</f>
        <v> </v>
      </c>
      <c r="D285" s="51"/>
      <c r="E285" s="51"/>
      <c r="F285" s="51"/>
      <c r="G285" s="51"/>
      <c r="H285" t="str">
        <f>IF(Source!M12&lt;&gt;"",Source!M12," ")</f>
        <v> </v>
      </c>
    </row>
    <row r="286" spans="3:7" s="5" customFormat="1" ht="11.25">
      <c r="C286" s="101" t="s">
        <v>401</v>
      </c>
      <c r="D286" s="101"/>
      <c r="E286" s="101"/>
      <c r="F286" s="101"/>
      <c r="G286" s="101"/>
    </row>
    <row r="288" spans="1:8" ht="12.75">
      <c r="A288" t="s">
        <v>428</v>
      </c>
      <c r="C288" s="51" t="str">
        <f>IF(Source!AR12&lt;&gt;"",Source!AR12," ")</f>
        <v> </v>
      </c>
      <c r="D288" s="51"/>
      <c r="E288" s="51"/>
      <c r="F288" s="51"/>
      <c r="G288" s="51"/>
      <c r="H288" t="str">
        <f>IF(Source!L12&lt;&gt;"",Source!L12," ")</f>
        <v> </v>
      </c>
    </row>
    <row r="289" spans="3:7" s="5" customFormat="1" ht="11.25">
      <c r="C289" s="101" t="s">
        <v>401</v>
      </c>
      <c r="D289" s="101"/>
      <c r="E289" s="101"/>
      <c r="F289" s="101"/>
      <c r="G289" s="101"/>
    </row>
  </sheetData>
  <sheetProtection/>
  <mergeCells count="68">
    <mergeCell ref="A1:D1"/>
    <mergeCell ref="H1:L1"/>
    <mergeCell ref="H2:L2"/>
    <mergeCell ref="H3:L3"/>
    <mergeCell ref="K5:L5"/>
    <mergeCell ref="K6:L6"/>
    <mergeCell ref="A7:B7"/>
    <mergeCell ref="C7:I7"/>
    <mergeCell ref="K7:L7"/>
    <mergeCell ref="A8:B8"/>
    <mergeCell ref="C8:I8"/>
    <mergeCell ref="K8:L8"/>
    <mergeCell ref="A9:B9"/>
    <mergeCell ref="C9:I9"/>
    <mergeCell ref="K9:L9"/>
    <mergeCell ref="A10:B10"/>
    <mergeCell ref="C10:I10"/>
    <mergeCell ref="K10:L10"/>
    <mergeCell ref="A11:B11"/>
    <mergeCell ref="C11:I11"/>
    <mergeCell ref="K11:L11"/>
    <mergeCell ref="F12:I12"/>
    <mergeCell ref="K12:L12"/>
    <mergeCell ref="F13:I13"/>
    <mergeCell ref="K13:L13"/>
    <mergeCell ref="K14:L14"/>
    <mergeCell ref="F17:G18"/>
    <mergeCell ref="F19:G19"/>
    <mergeCell ref="H17:I18"/>
    <mergeCell ref="H19:I19"/>
    <mergeCell ref="K17:L17"/>
    <mergeCell ref="A22:L22"/>
    <mergeCell ref="A24:I24"/>
    <mergeCell ref="D31:L31"/>
    <mergeCell ref="D33:L33"/>
    <mergeCell ref="J64:K64"/>
    <mergeCell ref="G64:H64"/>
    <mergeCell ref="D66:L66"/>
    <mergeCell ref="J101:K101"/>
    <mergeCell ref="G101:H101"/>
    <mergeCell ref="D103:L103"/>
    <mergeCell ref="J133:K133"/>
    <mergeCell ref="G133:H133"/>
    <mergeCell ref="D135:L135"/>
    <mergeCell ref="J165:K165"/>
    <mergeCell ref="G165:H165"/>
    <mergeCell ref="D167:L167"/>
    <mergeCell ref="J197:K197"/>
    <mergeCell ref="G197:H197"/>
    <mergeCell ref="D199:L199"/>
    <mergeCell ref="J243:K243"/>
    <mergeCell ref="G243:H243"/>
    <mergeCell ref="D245:L245"/>
    <mergeCell ref="J273:K273"/>
    <mergeCell ref="G273:H273"/>
    <mergeCell ref="J276:K276"/>
    <mergeCell ref="G276:H276"/>
    <mergeCell ref="D278:K278"/>
    <mergeCell ref="C279:I279"/>
    <mergeCell ref="J279:K279"/>
    <mergeCell ref="C280:I280"/>
    <mergeCell ref="J280:K280"/>
    <mergeCell ref="C286:G286"/>
    <mergeCell ref="C289:G289"/>
    <mergeCell ref="C281:I281"/>
    <mergeCell ref="J281:K281"/>
    <mergeCell ref="J283:K283"/>
    <mergeCell ref="G283:H283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9"/>
  <sheetViews>
    <sheetView tabSelected="1" zoomScalePageLayoutView="0" workbookViewId="0" topLeftCell="A1">
      <selection activeCell="C27" sqref="C27:F27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1.140625" style="0" bestFit="1" customWidth="1"/>
    <col min="7" max="7" width="11.28125" style="0" customWidth="1"/>
    <col min="8" max="8" width="11.140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90.7109375" style="0" hidden="1" customWidth="1"/>
    <col min="31" max="31" width="0" style="0" hidden="1" customWidth="1"/>
  </cols>
  <sheetData>
    <row r="1" s="5" customFormat="1" ht="11.25">
      <c r="A1" s="5" t="str">
        <f>Source!B1</f>
        <v>Smeta.ru  (495) 974-1589</v>
      </c>
    </row>
    <row r="3" spans="1:9" s="6" customFormat="1" ht="15">
      <c r="A3" s="6" t="s">
        <v>335</v>
      </c>
      <c r="F3" s="89" t="s">
        <v>336</v>
      </c>
      <c r="G3" s="89"/>
      <c r="H3" s="89"/>
      <c r="I3" s="89"/>
    </row>
    <row r="5" spans="1:11" ht="12.75">
      <c r="A5" s="90">
        <f>Source!AS12</f>
      </c>
      <c r="B5" s="90"/>
      <c r="C5" s="90">
        <f>Source!CH12</f>
      </c>
      <c r="D5" s="90"/>
      <c r="E5" s="7"/>
      <c r="F5" s="90">
        <f>Source!AR12</f>
      </c>
      <c r="G5" s="90"/>
      <c r="H5" s="90"/>
      <c r="I5" s="90">
        <f>Source!CG12</f>
      </c>
      <c r="J5" s="90"/>
      <c r="K5" s="90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90">
        <f>Source!M12</f>
      </c>
      <c r="D7" s="90"/>
      <c r="E7" s="7"/>
      <c r="F7" s="8"/>
      <c r="G7" s="8"/>
      <c r="H7" s="90">
        <f>Source!L12</f>
      </c>
      <c r="I7" s="90"/>
      <c r="J7" s="90"/>
      <c r="K7" s="90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337</v>
      </c>
      <c r="F9" s="6" t="s">
        <v>337</v>
      </c>
    </row>
    <row r="11" spans="1:30" ht="20.25">
      <c r="A11" s="91" t="s">
        <v>442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AD11" s="9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92" t="s">
        <v>338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4" spans="7:12" ht="13.5" hidden="1">
      <c r="G14" s="94" t="s">
        <v>339</v>
      </c>
      <c r="H14" s="95"/>
      <c r="I14" s="76" t="str">
        <f>Source!F12</f>
        <v>Новый объект</v>
      </c>
      <c r="J14" s="108"/>
      <c r="K14" s="108"/>
      <c r="L14" s="108"/>
    </row>
    <row r="16" spans="1:30" ht="20.25">
      <c r="A16" s="86" t="s">
        <v>443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AD16" s="11" t="s">
        <v>340</v>
      </c>
    </row>
    <row r="18" spans="2:30" ht="23.25" customHeight="1">
      <c r="B18" s="87" t="s">
        <v>450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AD18" s="12" t="str">
        <f>Source!G12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</row>
    <row r="19" ht="12.75" hidden="1"/>
    <row r="20" spans="1:30" ht="56.25" hidden="1">
      <c r="A20" s="4" t="s">
        <v>341</v>
      </c>
      <c r="B20" s="127" t="str">
        <f>IF(Source!G12&lt;&gt;"",Source!G12,Source!F12)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AD20" s="13" t="str">
        <f>IF(Source!G12&lt;&gt;"",Source!G12,Source!F12)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</row>
    <row r="21" spans="2:12" ht="12.75">
      <c r="B21" s="92" t="s">
        <v>342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3" spans="1:30" ht="15">
      <c r="A23" s="76" t="str">
        <f>CONCATENATE("Основание: ",Source!J12)</f>
        <v>Основание: 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AD23" s="10" t="str">
        <f>CONCATENATE("Основание: ",Source!J12)</f>
        <v>Основание: </v>
      </c>
    </row>
    <row r="25" spans="5:10" ht="12.75">
      <c r="E25" s="4"/>
      <c r="F25" s="4"/>
      <c r="G25" s="4"/>
      <c r="H25" s="4"/>
      <c r="I25" s="4"/>
      <c r="J25" s="4"/>
    </row>
    <row r="26" spans="5:10" ht="12.75">
      <c r="E26" s="15"/>
      <c r="F26" s="15"/>
      <c r="G26" s="128" t="s">
        <v>343</v>
      </c>
      <c r="H26" s="128"/>
      <c r="I26" s="128" t="s">
        <v>344</v>
      </c>
      <c r="J26" s="128"/>
    </row>
    <row r="27" spans="3:12" ht="15.75">
      <c r="C27" s="77" t="s">
        <v>345</v>
      </c>
      <c r="D27" s="77"/>
      <c r="E27" s="77"/>
      <c r="F27" s="77"/>
      <c r="G27" s="78">
        <f>G293/1000</f>
        <v>127.80176</v>
      </c>
      <c r="H27" s="78"/>
      <c r="I27" s="78">
        <f>(Source!F241/1000)</f>
        <v>1022.9393100000001</v>
      </c>
      <c r="J27" s="78"/>
      <c r="K27" s="79" t="s">
        <v>346</v>
      </c>
      <c r="L27" s="79"/>
    </row>
    <row r="28" spans="3:12" ht="15">
      <c r="C28" s="125" t="s">
        <v>347</v>
      </c>
      <c r="D28" s="125"/>
      <c r="E28" s="125"/>
      <c r="F28" s="125"/>
      <c r="G28" s="78">
        <f>O293/1000</f>
        <v>126.09008257601599</v>
      </c>
      <c r="H28" s="78"/>
      <c r="I28" s="78">
        <f>S293/1000</f>
        <v>857.7914199999999</v>
      </c>
      <c r="J28" s="78"/>
      <c r="K28" s="79" t="s">
        <v>346</v>
      </c>
      <c r="L28" s="79"/>
    </row>
    <row r="29" spans="3:12" ht="15">
      <c r="C29" s="125" t="s">
        <v>348</v>
      </c>
      <c r="D29" s="125"/>
      <c r="E29" s="125"/>
      <c r="F29" s="125"/>
      <c r="G29" s="78">
        <f>P293/1000</f>
        <v>0</v>
      </c>
      <c r="H29" s="78"/>
      <c r="I29" s="78">
        <f>T293/1000</f>
        <v>0</v>
      </c>
      <c r="J29" s="78"/>
      <c r="K29" s="79" t="s">
        <v>346</v>
      </c>
      <c r="L29" s="79"/>
    </row>
    <row r="30" spans="3:12" ht="15">
      <c r="C30" s="125" t="s">
        <v>349</v>
      </c>
      <c r="D30" s="125"/>
      <c r="E30" s="125"/>
      <c r="F30" s="125"/>
      <c r="G30" s="78">
        <f>Q293/1000</f>
        <v>0</v>
      </c>
      <c r="H30" s="78"/>
      <c r="I30" s="78">
        <f>U293/1000</f>
        <v>0</v>
      </c>
      <c r="J30" s="78"/>
      <c r="K30" s="79" t="s">
        <v>346</v>
      </c>
      <c r="L30" s="79"/>
    </row>
    <row r="31" spans="3:12" ht="15">
      <c r="C31" s="125" t="s">
        <v>350</v>
      </c>
      <c r="D31" s="125"/>
      <c r="E31" s="125"/>
      <c r="F31" s="125"/>
      <c r="G31" s="78">
        <f>R293/1000</f>
        <v>1.71171</v>
      </c>
      <c r="H31" s="78"/>
      <c r="I31" s="78">
        <f>V293/1000</f>
        <v>9.1063</v>
      </c>
      <c r="J31" s="78"/>
      <c r="K31" s="79" t="s">
        <v>346</v>
      </c>
      <c r="L31" s="79"/>
    </row>
    <row r="32" spans="3:12" ht="15.75">
      <c r="C32" s="77" t="s">
        <v>351</v>
      </c>
      <c r="D32" s="77"/>
      <c r="E32" s="77"/>
      <c r="F32" s="77"/>
      <c r="G32" s="78">
        <f>(Source!F234)</f>
        <v>309.56</v>
      </c>
      <c r="H32" s="78"/>
      <c r="I32" s="78">
        <f>(Source!F234)</f>
        <v>309.56</v>
      </c>
      <c r="J32" s="78"/>
      <c r="K32" s="79" t="s">
        <v>228</v>
      </c>
      <c r="L32" s="79"/>
    </row>
    <row r="33" spans="3:12" ht="15.75">
      <c r="C33" s="77" t="s">
        <v>352</v>
      </c>
      <c r="D33" s="77"/>
      <c r="E33" s="77"/>
      <c r="F33" s="77"/>
      <c r="G33" s="78">
        <f>(N293+W293)/1000</f>
        <v>3.4980600000000006</v>
      </c>
      <c r="H33" s="78"/>
      <c r="I33" s="78">
        <f>((Source!F232+Source!F231)/1000)</f>
        <v>62.395320000000005</v>
      </c>
      <c r="J33" s="78"/>
      <c r="K33" s="79" t="s">
        <v>346</v>
      </c>
      <c r="L33" s="79"/>
    </row>
    <row r="35" spans="1:6" ht="12.75">
      <c r="A35" s="129" t="s">
        <v>353</v>
      </c>
      <c r="B35" s="129"/>
      <c r="C35" s="129"/>
      <c r="D35" s="4"/>
      <c r="E35" s="4"/>
      <c r="F35" s="4"/>
    </row>
    <row r="36" spans="1:12" ht="15">
      <c r="A36" s="18"/>
      <c r="B36" s="18"/>
      <c r="C36" s="18"/>
      <c r="D36" s="18"/>
      <c r="E36" s="18"/>
      <c r="F36" s="19" t="s">
        <v>366</v>
      </c>
      <c r="G36" s="19" t="s">
        <v>370</v>
      </c>
      <c r="H36" s="19" t="s">
        <v>374</v>
      </c>
      <c r="I36" s="19" t="s">
        <v>378</v>
      </c>
      <c r="J36" s="19" t="s">
        <v>382</v>
      </c>
      <c r="K36" s="19" t="s">
        <v>374</v>
      </c>
      <c r="L36" s="20" t="s">
        <v>386</v>
      </c>
    </row>
    <row r="37" spans="1:12" ht="15">
      <c r="A37" s="21" t="s">
        <v>354</v>
      </c>
      <c r="B37" s="21" t="s">
        <v>356</v>
      </c>
      <c r="C37" s="22"/>
      <c r="D37" s="21" t="s">
        <v>361</v>
      </c>
      <c r="E37" s="21" t="s">
        <v>364</v>
      </c>
      <c r="F37" s="21" t="s">
        <v>367</v>
      </c>
      <c r="G37" s="21" t="s">
        <v>371</v>
      </c>
      <c r="H37" s="21" t="s">
        <v>375</v>
      </c>
      <c r="I37" s="21" t="s">
        <v>379</v>
      </c>
      <c r="J37" s="21" t="s">
        <v>373</v>
      </c>
      <c r="K37" s="21" t="s">
        <v>383</v>
      </c>
      <c r="L37" s="23" t="s">
        <v>387</v>
      </c>
    </row>
    <row r="38" spans="1:12" ht="15">
      <c r="A38" s="21" t="s">
        <v>355</v>
      </c>
      <c r="B38" s="21" t="s">
        <v>357</v>
      </c>
      <c r="C38" s="21" t="s">
        <v>360</v>
      </c>
      <c r="D38" s="21" t="s">
        <v>362</v>
      </c>
      <c r="E38" s="21" t="s">
        <v>365</v>
      </c>
      <c r="F38" s="21" t="s">
        <v>368</v>
      </c>
      <c r="G38" s="21" t="s">
        <v>372</v>
      </c>
      <c r="H38" s="21" t="s">
        <v>376</v>
      </c>
      <c r="I38" s="21" t="s">
        <v>380</v>
      </c>
      <c r="J38" s="21" t="s">
        <v>380</v>
      </c>
      <c r="K38" s="21" t="s">
        <v>384</v>
      </c>
      <c r="L38" s="23" t="s">
        <v>388</v>
      </c>
    </row>
    <row r="39" spans="1:12" ht="15">
      <c r="A39" s="22"/>
      <c r="B39" s="21" t="s">
        <v>358</v>
      </c>
      <c r="C39" s="22"/>
      <c r="D39" s="21" t="s">
        <v>363</v>
      </c>
      <c r="E39" s="22"/>
      <c r="F39" s="21" t="s">
        <v>369</v>
      </c>
      <c r="G39" s="21" t="s">
        <v>373</v>
      </c>
      <c r="H39" s="21" t="s">
        <v>377</v>
      </c>
      <c r="I39" s="21" t="s">
        <v>381</v>
      </c>
      <c r="J39" s="21" t="s">
        <v>381</v>
      </c>
      <c r="K39" s="21" t="s">
        <v>385</v>
      </c>
      <c r="L39" s="23"/>
    </row>
    <row r="40" spans="1:12" ht="15">
      <c r="A40" s="22"/>
      <c r="B40" s="21" t="s">
        <v>359</v>
      </c>
      <c r="C40" s="22"/>
      <c r="D40" s="22"/>
      <c r="E40" s="22"/>
      <c r="F40" s="22"/>
      <c r="G40" s="21"/>
      <c r="H40" s="21"/>
      <c r="I40" s="21"/>
      <c r="J40" s="21"/>
      <c r="K40" s="21"/>
      <c r="L40" s="23"/>
    </row>
    <row r="41" spans="1:12" ht="15">
      <c r="A41" s="24">
        <v>1</v>
      </c>
      <c r="B41" s="24">
        <v>2</v>
      </c>
      <c r="C41" s="24">
        <v>3</v>
      </c>
      <c r="D41" s="24">
        <v>4</v>
      </c>
      <c r="E41" s="24">
        <v>5</v>
      </c>
      <c r="F41" s="24">
        <v>6</v>
      </c>
      <c r="G41" s="24">
        <v>7</v>
      </c>
      <c r="H41" s="24">
        <v>8</v>
      </c>
      <c r="I41" s="24">
        <v>9</v>
      </c>
      <c r="J41" s="24">
        <v>10</v>
      </c>
      <c r="K41" s="24">
        <v>11</v>
      </c>
      <c r="L41" s="25">
        <v>12</v>
      </c>
    </row>
    <row r="43" spans="3:30" ht="18">
      <c r="C43" s="26" t="s">
        <v>390</v>
      </c>
      <c r="D43" s="106" t="str">
        <f>IF(Source!C12="1",Source!F24,Source!G24)</f>
        <v>Замена бортового камня</v>
      </c>
      <c r="E43" s="108"/>
      <c r="F43" s="108"/>
      <c r="G43" s="108"/>
      <c r="H43" s="108"/>
      <c r="I43" s="108"/>
      <c r="J43" s="108"/>
      <c r="K43" s="108"/>
      <c r="L43" s="108"/>
      <c r="AD43" s="28" t="str">
        <f>IF(Source!C12="1",Source!F24,Source!G24)</f>
        <v>Замена бортового камня</v>
      </c>
    </row>
    <row r="45" spans="1:12" ht="30">
      <c r="A45" s="29" t="str">
        <f>Source!E28</f>
        <v>1</v>
      </c>
      <c r="B45" s="29" t="str">
        <f>Source!F28</f>
        <v>27-03-010-1</v>
      </c>
      <c r="C45" s="30" t="str">
        <f>Source!G28</f>
        <v>Разборка бортовых камней на бетонном основании</v>
      </c>
      <c r="D45" s="31" t="str">
        <f>Source!H28</f>
        <v>100 м</v>
      </c>
      <c r="E45" s="14">
        <f>ROUND(Source!I28,6)</f>
        <v>1.32</v>
      </c>
      <c r="F45" s="16">
        <f>IF(Source!AK28&lt;&gt;0,Source!AK28,Source!AL28+Source!AM28+Source!AO28)</f>
        <v>615.13</v>
      </c>
      <c r="G45" s="14"/>
      <c r="H45" s="14"/>
      <c r="I45" s="32" t="str">
        <f>IF(Source!BO28&lt;&gt;"",Source!BO28,"")</f>
        <v>27-03-010-1</v>
      </c>
      <c r="J45" s="14"/>
      <c r="K45" s="14"/>
      <c r="L45" s="14"/>
    </row>
    <row r="46" spans="1:12" ht="15">
      <c r="A46" s="14"/>
      <c r="B46" s="14"/>
      <c r="C46" s="14" t="s">
        <v>391</v>
      </c>
      <c r="D46" s="14"/>
      <c r="E46" s="14"/>
      <c r="F46" s="16">
        <f>Source!AO28</f>
        <v>615.13</v>
      </c>
      <c r="G46" s="32">
        <f>Source!DG28</f>
      </c>
      <c r="H46" s="16">
        <f>ROUND((Source!CT28/IF(Source!BA28&lt;&gt;0,Source!BA28,1)*Source!I28),2)</f>
        <v>811.97</v>
      </c>
      <c r="I46" s="14"/>
      <c r="J46" s="14">
        <f>Source!BA28</f>
        <v>17.84</v>
      </c>
      <c r="K46" s="16">
        <f>Source!S28</f>
        <v>14485.57</v>
      </c>
      <c r="L46" s="14"/>
    </row>
    <row r="47" spans="1:24" ht="15">
      <c r="A47" s="14"/>
      <c r="B47" s="14"/>
      <c r="C47" s="14" t="s">
        <v>392</v>
      </c>
      <c r="D47" s="17" t="s">
        <v>393</v>
      </c>
      <c r="E47" s="14"/>
      <c r="F47" s="16">
        <f>Source!BZ28</f>
        <v>142</v>
      </c>
      <c r="G47" s="14"/>
      <c r="H47" s="16">
        <f>X47</f>
        <v>1153</v>
      </c>
      <c r="I47" s="14" t="str">
        <f>Source!FV28</f>
        <v>((*0.85))</v>
      </c>
      <c r="J47" s="16">
        <f>Source!AT28</f>
        <v>121</v>
      </c>
      <c r="K47" s="16">
        <f>Source!X28</f>
        <v>17527.54</v>
      </c>
      <c r="L47" s="14"/>
      <c r="X47">
        <f>ROUND((Source!FX28/100)*(ROUND((Source!CT28/IF(Source!BA28&lt;&gt;0,Source!BA28,1)*Source!I28),2)+ROUND((Source!CS28/IF(Source!BS28&lt;&gt;0,Source!BS28,1)*Source!I28),2)),2)</f>
        <v>1153</v>
      </c>
    </row>
    <row r="48" spans="1:25" ht="15">
      <c r="A48" s="14"/>
      <c r="B48" s="14"/>
      <c r="C48" s="14" t="s">
        <v>74</v>
      </c>
      <c r="D48" s="17" t="s">
        <v>393</v>
      </c>
      <c r="E48" s="14"/>
      <c r="F48" s="16">
        <f>Source!CA28</f>
        <v>95</v>
      </c>
      <c r="G48" s="14" t="str">
        <f>Source!FU28</f>
        <v>*0.85</v>
      </c>
      <c r="H48" s="16">
        <f>Y48</f>
        <v>655.67</v>
      </c>
      <c r="I48" s="14" t="str">
        <f>Source!FW28</f>
        <v>((*0.8))</v>
      </c>
      <c r="J48" s="16">
        <f>Source!AU28</f>
        <v>65</v>
      </c>
      <c r="K48" s="16">
        <f>Source!Y28</f>
        <v>9415.62</v>
      </c>
      <c r="L48" s="14"/>
      <c r="Y48">
        <f>ROUND((Source!FY28/100)*(ROUND((Source!CT28/IF(Source!BA28&lt;&gt;0,Source!BA28,1)*Source!I28),2)+ROUND((Source!CS28/IF(Source!BS28&lt;&gt;0,Source!BS28,1)*Source!I28),2)),2)</f>
        <v>655.67</v>
      </c>
    </row>
    <row r="49" spans="1:12" ht="15">
      <c r="A49" s="34"/>
      <c r="B49" s="34"/>
      <c r="C49" s="34" t="s">
        <v>394</v>
      </c>
      <c r="D49" s="35" t="s">
        <v>395</v>
      </c>
      <c r="E49" s="34">
        <f>Source!AQ28</f>
        <v>76.7</v>
      </c>
      <c r="F49" s="34"/>
      <c r="G49" s="36">
        <f>Source!DI28</f>
      </c>
      <c r="H49" s="34"/>
      <c r="I49" s="34"/>
      <c r="J49" s="34"/>
      <c r="K49" s="34"/>
      <c r="L49" s="37">
        <f>Source!U28</f>
        <v>101.24400000000001</v>
      </c>
    </row>
    <row r="50" spans="1:23" ht="15.75">
      <c r="A50" s="14"/>
      <c r="B50" s="14"/>
      <c r="C50" s="14"/>
      <c r="D50" s="14"/>
      <c r="E50" s="14"/>
      <c r="F50" s="14"/>
      <c r="G50" s="14"/>
      <c r="H50" s="38">
        <f>ROUND((Source!CT28/IF(Source!BA28&lt;&gt;0,Source!BA28,1)*Source!I28),2)+ROUND((Source!CR28/IF(Source!BB28&lt;&gt;0,Source!BB28,1)*Source!I28),2)+H47+H48</f>
        <v>2620.64</v>
      </c>
      <c r="I50" s="39"/>
      <c r="J50" s="39"/>
      <c r="K50" s="38">
        <f>Source!S28+Source!Q28+K47+K48</f>
        <v>41428.73</v>
      </c>
      <c r="L50" s="38">
        <f>Source!U28</f>
        <v>101.24400000000001</v>
      </c>
      <c r="M50" s="33">
        <f>H50</f>
        <v>2620.64</v>
      </c>
      <c r="N50">
        <f>ROUND((Source!CT28/IF(Source!BA28&lt;&gt;0,Source!BA28,1)*Source!I28),2)</f>
        <v>811.97</v>
      </c>
      <c r="O50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2620.638339</v>
      </c>
      <c r="P50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50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50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50">
        <f>IF(Source!BI28=1,Source!O28+Source!X28+Source!Y28,0)</f>
        <v>41428.73</v>
      </c>
      <c r="T50">
        <f>IF(Source!BI28=2,Source!O28+Source!X28+Source!Y28,0)</f>
        <v>0</v>
      </c>
      <c r="U50">
        <f>IF(Source!BI28=3,Source!O28+Source!X28+Source!Y28,0)</f>
        <v>0</v>
      </c>
      <c r="V50">
        <f>IF(Source!BI28=4,Source!O28+Source!X28+Source!Y28,0)</f>
        <v>0</v>
      </c>
      <c r="W50">
        <f>ROUND((Source!CS28/IF(Source!BS28&lt;&gt;0,Source!BS28,1)*Source!I28),2)</f>
        <v>0</v>
      </c>
    </row>
    <row r="51" spans="1:12" ht="45">
      <c r="A51" s="29" t="str">
        <f>Source!E29</f>
        <v>2</v>
      </c>
      <c r="B51" s="29" t="str">
        <f>Source!F29</f>
        <v>27-02-010-2</v>
      </c>
      <c r="C51" s="30" t="str">
        <f>Source!G29</f>
        <v>Установка бортовых камней бетонных при других видах покрытий</v>
      </c>
      <c r="D51" s="31" t="str">
        <f>Source!H29</f>
        <v>100 м</v>
      </c>
      <c r="E51" s="14">
        <f>ROUND(Source!I29,6)</f>
        <v>0.78</v>
      </c>
      <c r="F51" s="16">
        <f>IF(Source!AK29&lt;&gt;0,Source!AK29,Source!AL29+Source!AM29+Source!AO29)</f>
        <v>4682.610000000001</v>
      </c>
      <c r="G51" s="14"/>
      <c r="H51" s="14"/>
      <c r="I51" s="32" t="str">
        <f>IF(Source!BO29&lt;&gt;"",Source!BO29,"")</f>
        <v>27-02-010-2</v>
      </c>
      <c r="J51" s="14"/>
      <c r="K51" s="14"/>
      <c r="L51" s="14"/>
    </row>
    <row r="52" spans="1:12" ht="15">
      <c r="A52" s="14"/>
      <c r="B52" s="14"/>
      <c r="C52" s="14" t="s">
        <v>391</v>
      </c>
      <c r="D52" s="14"/>
      <c r="E52" s="14"/>
      <c r="F52" s="16">
        <f>Source!AO29</f>
        <v>643.64</v>
      </c>
      <c r="G52" s="32">
        <f>Source!DG29</f>
      </c>
      <c r="H52" s="16">
        <f>ROUND((Source!CT29/IF(Source!BA29&lt;&gt;0,Source!BA29,1)*Source!I29),2)</f>
        <v>502.04</v>
      </c>
      <c r="I52" s="14"/>
      <c r="J52" s="14">
        <f>Source!BA29</f>
        <v>17.84</v>
      </c>
      <c r="K52" s="16">
        <f>Source!S29</f>
        <v>8956.38</v>
      </c>
      <c r="L52" s="14"/>
    </row>
    <row r="53" spans="1:12" ht="15">
      <c r="A53" s="14"/>
      <c r="B53" s="14"/>
      <c r="C53" s="14" t="s">
        <v>58</v>
      </c>
      <c r="D53" s="14"/>
      <c r="E53" s="14"/>
      <c r="F53" s="16">
        <f>Source!AM29</f>
        <v>79.65</v>
      </c>
      <c r="G53" s="32">
        <f>Source!DE29</f>
      </c>
      <c r="H53" s="16">
        <f>ROUND((Source!CR29/IF(Source!BB29&lt;&gt;0,Source!BB29,1)*Source!I29),2)</f>
        <v>62.13</v>
      </c>
      <c r="I53" s="14"/>
      <c r="J53" s="14">
        <f>Source!BB29</f>
        <v>7.17</v>
      </c>
      <c r="K53" s="16">
        <f>Source!Q29</f>
        <v>445.45</v>
      </c>
      <c r="L53" s="14"/>
    </row>
    <row r="54" spans="1:12" ht="15">
      <c r="A54" s="14"/>
      <c r="B54" s="14"/>
      <c r="C54" s="14" t="s">
        <v>396</v>
      </c>
      <c r="D54" s="14"/>
      <c r="E54" s="14"/>
      <c r="F54" s="16">
        <f>Source!AN29</f>
        <v>9.18</v>
      </c>
      <c r="G54" s="32">
        <f>Source!DF29</f>
      </c>
      <c r="H54" s="40">
        <f>ROUND((Source!CS29/IF(Source!BS29&lt;&gt;0,Source!BS29,1)*Source!I29),2)</f>
        <v>7.16</v>
      </c>
      <c r="I54" s="14"/>
      <c r="J54" s="14">
        <f>Source!BS29</f>
        <v>17.84</v>
      </c>
      <c r="K54" s="40">
        <f>Source!R29</f>
        <v>127.74</v>
      </c>
      <c r="L54" s="14"/>
    </row>
    <row r="55" spans="1:12" ht="15">
      <c r="A55" s="14"/>
      <c r="B55" s="14"/>
      <c r="C55" s="14" t="s">
        <v>397</v>
      </c>
      <c r="D55" s="14"/>
      <c r="E55" s="14"/>
      <c r="F55" s="16">
        <f>Source!AL29</f>
        <v>3959.32</v>
      </c>
      <c r="G55" s="32">
        <f>Source!DD29</f>
      </c>
      <c r="H55" s="16">
        <f>ROUND((Source!CQ29/IF(Source!BC29&lt;&gt;0,Source!BC29,1)*Source!I29),2)</f>
        <v>3088.27</v>
      </c>
      <c r="I55" s="14"/>
      <c r="J55" s="14">
        <f>Source!BC29</f>
        <v>5.33</v>
      </c>
      <c r="K55" s="16">
        <f>Source!P29</f>
        <v>16460.48</v>
      </c>
      <c r="L55" s="14"/>
    </row>
    <row r="56" spans="1:24" ht="15">
      <c r="A56" s="14"/>
      <c r="B56" s="14"/>
      <c r="C56" s="14" t="s">
        <v>392</v>
      </c>
      <c r="D56" s="17" t="s">
        <v>393</v>
      </c>
      <c r="E56" s="14"/>
      <c r="F56" s="16">
        <f>Source!BZ29</f>
        <v>142</v>
      </c>
      <c r="G56" s="14"/>
      <c r="H56" s="16">
        <f>X56+X59+X60</f>
        <v>723.06</v>
      </c>
      <c r="I56" s="14" t="str">
        <f>Source!FV29</f>
        <v>((*0.85))</v>
      </c>
      <c r="J56" s="16">
        <f>Source!AT29</f>
        <v>121</v>
      </c>
      <c r="K56" s="16">
        <f>Source!X29+Source!X30+Source!X31</f>
        <v>10991.79</v>
      </c>
      <c r="L56" s="14"/>
      <c r="X56">
        <f>ROUND((Source!FX29/100)*(ROUND((Source!CT29/IF(Source!BA29&lt;&gt;0,Source!BA29,1)*Source!I29),2)+ROUND((Source!CS29/IF(Source!BS29&lt;&gt;0,Source!BS29,1)*Source!I29),2)),2)</f>
        <v>723.06</v>
      </c>
    </row>
    <row r="57" spans="1:25" ht="15">
      <c r="A57" s="14"/>
      <c r="B57" s="14"/>
      <c r="C57" s="14" t="s">
        <v>74</v>
      </c>
      <c r="D57" s="17" t="s">
        <v>393</v>
      </c>
      <c r="E57" s="14"/>
      <c r="F57" s="16">
        <f>Source!CA29</f>
        <v>95</v>
      </c>
      <c r="G57" s="14" t="str">
        <f>Source!FU29</f>
        <v>*0.85</v>
      </c>
      <c r="H57" s="16">
        <f>Y57+Y59+Y60</f>
        <v>411.18</v>
      </c>
      <c r="I57" s="14" t="str">
        <f>Source!FW29</f>
        <v>((*0.8))</v>
      </c>
      <c r="J57" s="16">
        <f>Source!AU29</f>
        <v>65</v>
      </c>
      <c r="K57" s="16">
        <f>Source!Y29+Source!Y30+Source!Y31</f>
        <v>5904.68</v>
      </c>
      <c r="L57" s="14"/>
      <c r="Y57">
        <f>ROUND((Source!FY29/100)*(ROUND((Source!CT29/IF(Source!BA29&lt;&gt;0,Source!BA29,1)*Source!I29),2)+ROUND((Source!CS29/IF(Source!BS29&lt;&gt;0,Source!BS29,1)*Source!I29),2)),2)</f>
        <v>411.18</v>
      </c>
    </row>
    <row r="58" spans="1:12" ht="15">
      <c r="A58" s="14"/>
      <c r="B58" s="14"/>
      <c r="C58" s="14" t="s">
        <v>394</v>
      </c>
      <c r="D58" s="17" t="s">
        <v>395</v>
      </c>
      <c r="E58" s="14">
        <f>Source!AQ29</f>
        <v>76.08</v>
      </c>
      <c r="F58" s="14"/>
      <c r="G58" s="32">
        <f>Source!DI29</f>
      </c>
      <c r="H58" s="14"/>
      <c r="I58" s="14"/>
      <c r="J58" s="14"/>
      <c r="K58" s="14"/>
      <c r="L58" s="16">
        <f>Source!U29</f>
        <v>59.3424</v>
      </c>
    </row>
    <row r="59" spans="1:25" ht="45">
      <c r="A59" s="29" t="str">
        <f>Source!E30</f>
        <v>2,1</v>
      </c>
      <c r="B59" s="29" t="str">
        <f>Source!F30</f>
        <v>403-8021</v>
      </c>
      <c r="C59" s="30" t="str">
        <f>Source!G30</f>
        <v>Камни бортовые БР 100.30.15 / бетон В30 (М400), объем 0,043 м3/ (ГОСТ 6665-91)</v>
      </c>
      <c r="D59" s="31" t="str">
        <f>Source!H30</f>
        <v>шт.</v>
      </c>
      <c r="E59" s="14">
        <f>ROUND(Source!I30,6)</f>
        <v>78</v>
      </c>
      <c r="F59" s="16">
        <f>IF(Source!AL30=0,Source!AK30,Source!AL30)</f>
        <v>63.31</v>
      </c>
      <c r="G59" s="32">
        <f>Source!DD30</f>
      </c>
      <c r="H59" s="41">
        <f>ROUND((Source!CR30/IF(Source!BB30&lt;&gt;0,Source!BB30,1)*Source!I30),2)+ROUND((Source!CQ30/IF(Source!BC30&lt;&gt;0,Source!BC30,1)*Source!I30),2)+ROUND((Source!CT30/IF(Source!BA30&lt;&gt;0,Source!BA30,1)*Source!I30),2)</f>
        <v>4938.18</v>
      </c>
      <c r="I59" s="32" t="str">
        <f>IF(Source!BO30&lt;&gt;"",Source!BO30,"")</f>
        <v>403-8021</v>
      </c>
      <c r="J59" s="14">
        <f>Source!BC30</f>
        <v>3.74</v>
      </c>
      <c r="K59" s="16">
        <f>Source!O30</f>
        <v>18468.79</v>
      </c>
      <c r="L59" s="14"/>
      <c r="N59">
        <f>ROUND((Source!CT30/IF(Source!BA30&lt;&gt;0,Source!BA30,1)*Source!I30),2)</f>
        <v>0</v>
      </c>
      <c r="O59">
        <f>IF(Source!BI30=1,(ROUND((Source!CR30/IF(Source!BB30&lt;&gt;0,Source!BB30,1)*Source!I30),2)+ROUND((Source!CQ30/IF(Source!BC30&lt;&gt;0,Source!BC30,1)*Source!I30),2)+ROUND((Source!CT30/IF(Source!BA30&lt;&gt;0,Source!BA30,1)*Source!I30),2)),0)</f>
        <v>4938.18</v>
      </c>
      <c r="P59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59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59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59">
        <f>IF(Source!BI30=1,Source!O30+Source!X30+Source!Y30,0)</f>
        <v>18468.79</v>
      </c>
      <c r="T59">
        <f>IF(Source!BI30=2,Source!O30+Source!X30+Source!Y30,0)</f>
        <v>0</v>
      </c>
      <c r="U59">
        <f>IF(Source!BI30=3,Source!O30+Source!X30+Source!Y30,0)</f>
        <v>0</v>
      </c>
      <c r="V59">
        <f>IF(Source!BI30=4,Source!O30+Source!X30+Source!Y30,0)</f>
        <v>0</v>
      </c>
      <c r="W59">
        <f>ROUND((Source!CS30/IF(Source!BS30&lt;&gt;0,Source!BS30,1)*Source!I30),2)</f>
        <v>0</v>
      </c>
      <c r="X59">
        <f>ROUND((Source!FX30/100)*(ROUND((Source!CT30/IF(Source!BA30&lt;&gt;0,Source!BA30,1)*Source!I30),2)+ROUND((Source!CS30/IF(Source!BS30&lt;&gt;0,Source!BS30,1)*Source!I30),2)),2)</f>
        <v>0</v>
      </c>
      <c r="Y59">
        <f>ROUND((Source!FY30/100)*(ROUND((Source!CT30/IF(Source!BA30&lt;&gt;0,Source!BA30,1)*Source!I30),2)+ROUND((Source!CS30/IF(Source!BS30&lt;&gt;0,Source!BS30,1)*Source!I30),2)),2)</f>
        <v>0</v>
      </c>
    </row>
    <row r="60" spans="1:25" ht="30">
      <c r="A60" s="42" t="str">
        <f>Source!E31</f>
        <v>2,2</v>
      </c>
      <c r="B60" s="42" t="str">
        <f>Source!F31</f>
        <v>413-9010</v>
      </c>
      <c r="C60" s="43" t="str">
        <f>Source!G31</f>
        <v>Камни бортовые</v>
      </c>
      <c r="D60" s="44" t="str">
        <f>Source!H31</f>
        <v>м</v>
      </c>
      <c r="E60" s="34">
        <f>ROUND(Source!I31,6)</f>
        <v>78</v>
      </c>
      <c r="F60" s="37">
        <f>IF(Source!GB31=0,Source!GA31,Source!GB31)</f>
        <v>0</v>
      </c>
      <c r="G60" s="36">
        <f>Source!DD31</f>
      </c>
      <c r="H60" s="45">
        <f>ROUND((Source!GF31*Source!I31),2)</f>
        <v>0</v>
      </c>
      <c r="I60" s="36" t="str">
        <f>IF(Source!BO31&lt;&gt;"",Source!BO31,"")</f>
        <v>413-9010</v>
      </c>
      <c r="J60" s="34">
        <f>Source!BC31</f>
        <v>1</v>
      </c>
      <c r="K60" s="37">
        <f>Source!O31</f>
        <v>0</v>
      </c>
      <c r="L60" s="34"/>
      <c r="N60">
        <f>ROUND(Source!GJ31*Source!I31,2)</f>
        <v>0</v>
      </c>
      <c r="O60">
        <f>IF(Source!BI31=1,(ROUND((Source!GF31*Source!I31),2)),0)</f>
        <v>0</v>
      </c>
      <c r="P60">
        <f>IF(Source!BI31=2,(ROUND((Source!GF31*Source!I31),2)),0)</f>
        <v>0</v>
      </c>
      <c r="Q60">
        <f>IF(Source!BI31=3,(ROUND((Source!GF31*Source!I31),2)),0)</f>
        <v>0</v>
      </c>
      <c r="R60">
        <f>IF(Source!BI31=4,(ROUND((Source!GF31*Source!I31),2)),0)</f>
        <v>0</v>
      </c>
      <c r="S60">
        <f>IF(Source!BI31=1,Source!O31+Source!X31+Source!Y31,0)</f>
        <v>0</v>
      </c>
      <c r="T60">
        <f>IF(Source!BI31=2,Source!O31+Source!X31+Source!Y31,0)</f>
        <v>0</v>
      </c>
      <c r="U60">
        <f>IF(Source!BI31=3,Source!O31+Source!X31+Source!Y31,0)</f>
        <v>0</v>
      </c>
      <c r="V60">
        <f>IF(Source!BI31=4,Source!O31+Source!X31+Source!Y31,0)</f>
        <v>0</v>
      </c>
      <c r="W60">
        <f>ROUND(Source!GI31*Source!I31,2)</f>
        <v>0</v>
      </c>
      <c r="X60">
        <f>ROUND((Source!FX31/100)*(ROUND(Source!GJ31*Source!I31,2)+ROUND(Source!GI31*Source!I31,2)),2)</f>
        <v>0</v>
      </c>
      <c r="Y60">
        <f>ROUND((Source!FY31/100)*(ROUND(Source!GJ31*Source!I31,2)+ROUND(Source!GI31*Source!I31,2)),2)</f>
        <v>0</v>
      </c>
    </row>
    <row r="61" spans="1:23" ht="15.75">
      <c r="A61" s="14"/>
      <c r="B61" s="14"/>
      <c r="C61" s="14"/>
      <c r="D61" s="14"/>
      <c r="E61" s="14"/>
      <c r="F61" s="14"/>
      <c r="G61" s="14"/>
      <c r="H61" s="38">
        <f>ROUND((Source!CT29/IF(Source!BA29&lt;&gt;0,Source!BA29,1)*Source!I29),2)+ROUND((Source!CR29/IF(Source!BB29&lt;&gt;0,Source!BB29,1)*Source!I29),2)+H55+H56+H57+H59+H60</f>
        <v>9724.86</v>
      </c>
      <c r="I61" s="39"/>
      <c r="J61" s="39"/>
      <c r="K61" s="38">
        <f>Source!S29+Source!Q29+K55+K56+K57+K59+K60</f>
        <v>61227.57</v>
      </c>
      <c r="L61" s="38">
        <f>Source!U29</f>
        <v>59.3424</v>
      </c>
      <c r="M61" s="33">
        <f>H61</f>
        <v>9724.86</v>
      </c>
      <c r="N61">
        <f>ROUND((Source!CT29/IF(Source!BA29&lt;&gt;0,Source!BA29,1)*Source!I29),2)</f>
        <v>502.04</v>
      </c>
      <c r="O61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4786.677909</v>
      </c>
      <c r="P61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61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61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61">
        <f>IF(Source!BI29=1,Source!O29+Source!X29+Source!Y29,0)</f>
        <v>42758.780000000006</v>
      </c>
      <c r="T61">
        <f>IF(Source!BI29=2,Source!O29+Source!X29+Source!Y29,0)</f>
        <v>0</v>
      </c>
      <c r="U61">
        <f>IF(Source!BI29=3,Source!O29+Source!X29+Source!Y29,0)</f>
        <v>0</v>
      </c>
      <c r="V61">
        <f>IF(Source!BI29=4,Source!O29+Source!X29+Source!Y29,0)</f>
        <v>0</v>
      </c>
      <c r="W61">
        <f>ROUND((Source!CS29/IF(Source!BS29&lt;&gt;0,Source!BS29,1)*Source!I29),2)</f>
        <v>7.16</v>
      </c>
    </row>
    <row r="62" spans="1:12" ht="45">
      <c r="A62" s="29" t="str">
        <f>Source!E32</f>
        <v>3</v>
      </c>
      <c r="B62" s="29" t="str">
        <f>Source!F32</f>
        <v>27-02-010-2</v>
      </c>
      <c r="C62" s="30" t="str">
        <f>Source!G32</f>
        <v>Установка бортовых камней бетонных при других видах покрытий</v>
      </c>
      <c r="D62" s="31" t="str">
        <f>Source!H32</f>
        <v>100 м</v>
      </c>
      <c r="E62" s="14">
        <f>ROUND(Source!I32,6)</f>
        <v>0.6</v>
      </c>
      <c r="F62" s="16">
        <f>IF(Source!AK32&lt;&gt;0,Source!AK32,Source!AL32+Source!AM32+Source!AO32)</f>
        <v>4682.610000000001</v>
      </c>
      <c r="G62" s="14"/>
      <c r="H62" s="14"/>
      <c r="I62" s="32" t="str">
        <f>IF(Source!BO32&lt;&gt;"",Source!BO32,"")</f>
        <v>27-02-010-2</v>
      </c>
      <c r="J62" s="14"/>
      <c r="K62" s="14"/>
      <c r="L62" s="14"/>
    </row>
    <row r="63" spans="1:12" ht="15">
      <c r="A63" s="14"/>
      <c r="B63" s="14"/>
      <c r="C63" s="14" t="s">
        <v>391</v>
      </c>
      <c r="D63" s="14"/>
      <c r="E63" s="14"/>
      <c r="F63" s="16">
        <f>Source!AO32</f>
        <v>643.64</v>
      </c>
      <c r="G63" s="32">
        <f>Source!DG32</f>
      </c>
      <c r="H63" s="16">
        <f>ROUND((Source!CT32/IF(Source!BA32&lt;&gt;0,Source!BA32,1)*Source!I32),2)</f>
        <v>386.18</v>
      </c>
      <c r="I63" s="14"/>
      <c r="J63" s="14">
        <f>Source!BA32</f>
        <v>17.84</v>
      </c>
      <c r="K63" s="16">
        <f>Source!S32</f>
        <v>6889.52</v>
      </c>
      <c r="L63" s="14"/>
    </row>
    <row r="64" spans="1:12" ht="15">
      <c r="A64" s="14"/>
      <c r="B64" s="14"/>
      <c r="C64" s="14" t="s">
        <v>58</v>
      </c>
      <c r="D64" s="14"/>
      <c r="E64" s="14"/>
      <c r="F64" s="16">
        <f>Source!AM32</f>
        <v>79.65</v>
      </c>
      <c r="G64" s="32">
        <f>Source!DE32</f>
      </c>
      <c r="H64" s="16">
        <f>ROUND((Source!CR32/IF(Source!BB32&lt;&gt;0,Source!BB32,1)*Source!I32),2)</f>
        <v>47.79</v>
      </c>
      <c r="I64" s="14"/>
      <c r="J64" s="14">
        <f>Source!BB32</f>
        <v>7.17</v>
      </c>
      <c r="K64" s="16">
        <f>Source!Q32</f>
        <v>342.65</v>
      </c>
      <c r="L64" s="14"/>
    </row>
    <row r="65" spans="1:12" ht="15">
      <c r="A65" s="14"/>
      <c r="B65" s="14"/>
      <c r="C65" s="14" t="s">
        <v>396</v>
      </c>
      <c r="D65" s="14"/>
      <c r="E65" s="14"/>
      <c r="F65" s="16">
        <f>Source!AN32</f>
        <v>9.18</v>
      </c>
      <c r="G65" s="32">
        <f>Source!DF32</f>
      </c>
      <c r="H65" s="40">
        <f>ROUND((Source!CS32/IF(Source!BS32&lt;&gt;0,Source!BS32,1)*Source!I32),2)</f>
        <v>5.51</v>
      </c>
      <c r="I65" s="14"/>
      <c r="J65" s="14">
        <f>Source!BS32</f>
        <v>17.84</v>
      </c>
      <c r="K65" s="40">
        <f>Source!R32</f>
        <v>98.26</v>
      </c>
      <c r="L65" s="14"/>
    </row>
    <row r="66" spans="1:12" ht="15">
      <c r="A66" s="14"/>
      <c r="B66" s="14"/>
      <c r="C66" s="14" t="s">
        <v>397</v>
      </c>
      <c r="D66" s="14"/>
      <c r="E66" s="14"/>
      <c r="F66" s="16">
        <f>Source!AL32</f>
        <v>3959.32</v>
      </c>
      <c r="G66" s="32">
        <f>Source!DD32</f>
      </c>
      <c r="H66" s="16">
        <f>ROUND((Source!CQ32/IF(Source!BC32&lt;&gt;0,Source!BC32,1)*Source!I32),2)</f>
        <v>2375.59</v>
      </c>
      <c r="I66" s="14"/>
      <c r="J66" s="14">
        <f>Source!BC32</f>
        <v>5.33</v>
      </c>
      <c r="K66" s="16">
        <f>Source!P32</f>
        <v>12661.91</v>
      </c>
      <c r="L66" s="14"/>
    </row>
    <row r="67" spans="1:24" ht="15">
      <c r="A67" s="14"/>
      <c r="B67" s="14"/>
      <c r="C67" s="14" t="s">
        <v>392</v>
      </c>
      <c r="D67" s="17" t="s">
        <v>393</v>
      </c>
      <c r="E67" s="14"/>
      <c r="F67" s="16">
        <f>Source!BZ32</f>
        <v>142</v>
      </c>
      <c r="G67" s="14"/>
      <c r="H67" s="16">
        <f>X67+X70+X71</f>
        <v>556.2</v>
      </c>
      <c r="I67" s="14" t="str">
        <f>Source!FV32</f>
        <v>((*0.85))</v>
      </c>
      <c r="J67" s="16">
        <f>Source!AT32</f>
        <v>121</v>
      </c>
      <c r="K67" s="16">
        <f>Source!X32+Source!X33+Source!X34</f>
        <v>8455.21</v>
      </c>
      <c r="L67" s="14"/>
      <c r="X67">
        <f>ROUND((Source!FX32/100)*(ROUND((Source!CT32/IF(Source!BA32&lt;&gt;0,Source!BA32,1)*Source!I32),2)+ROUND((Source!CS32/IF(Source!BS32&lt;&gt;0,Source!BS32,1)*Source!I32),2)),2)</f>
        <v>556.2</v>
      </c>
    </row>
    <row r="68" spans="1:25" ht="15">
      <c r="A68" s="14"/>
      <c r="B68" s="14"/>
      <c r="C68" s="14" t="s">
        <v>74</v>
      </c>
      <c r="D68" s="17" t="s">
        <v>393</v>
      </c>
      <c r="E68" s="14"/>
      <c r="F68" s="16">
        <f>Source!CA32</f>
        <v>95</v>
      </c>
      <c r="G68" s="14" t="str">
        <f>Source!FU32</f>
        <v>*0.85</v>
      </c>
      <c r="H68" s="16">
        <f>Y68+Y70+Y71</f>
        <v>316.29</v>
      </c>
      <c r="I68" s="14" t="str">
        <f>Source!FW32</f>
        <v>((*0.8))</v>
      </c>
      <c r="J68" s="16">
        <f>Source!AU32</f>
        <v>65</v>
      </c>
      <c r="K68" s="16">
        <f>Source!Y32+Source!Y33+Source!Y34</f>
        <v>4542.06</v>
      </c>
      <c r="L68" s="14"/>
      <c r="Y68">
        <f>ROUND((Source!FY32/100)*(ROUND((Source!CT32/IF(Source!BA32&lt;&gt;0,Source!BA32,1)*Source!I32),2)+ROUND((Source!CS32/IF(Source!BS32&lt;&gt;0,Source!BS32,1)*Source!I32),2)),2)</f>
        <v>316.29</v>
      </c>
    </row>
    <row r="69" spans="1:12" ht="15">
      <c r="A69" s="14"/>
      <c r="B69" s="14"/>
      <c r="C69" s="14" t="s">
        <v>394</v>
      </c>
      <c r="D69" s="17" t="s">
        <v>395</v>
      </c>
      <c r="E69" s="14">
        <f>Source!AQ32</f>
        <v>76.08</v>
      </c>
      <c r="F69" s="14"/>
      <c r="G69" s="32">
        <f>Source!DI32</f>
      </c>
      <c r="H69" s="14"/>
      <c r="I69" s="14"/>
      <c r="J69" s="14"/>
      <c r="K69" s="14"/>
      <c r="L69" s="16">
        <f>Source!U32</f>
        <v>45.647999999999996</v>
      </c>
    </row>
    <row r="70" spans="1:25" ht="45">
      <c r="A70" s="29" t="str">
        <f>Source!E33</f>
        <v>3,1</v>
      </c>
      <c r="B70" s="29" t="str">
        <f>Source!F33</f>
        <v>403-8023</v>
      </c>
      <c r="C70" s="30" t="str">
        <f>Source!G33</f>
        <v>Камни бортовые БР 100.20.8 / бетон В22,5 (М300), объем 0,016 м3/ (ГОСТ 6665-91)</v>
      </c>
      <c r="D70" s="31" t="str">
        <f>Source!H33</f>
        <v>шт.</v>
      </c>
      <c r="E70" s="14">
        <f>ROUND(Source!I33,6)</f>
        <v>120</v>
      </c>
      <c r="F70" s="16">
        <f>IF(Source!AL33=0,Source!AK33,Source!AL33)</f>
        <v>22.42</v>
      </c>
      <c r="G70" s="32">
        <f>Source!DD33</f>
      </c>
      <c r="H70" s="41">
        <f>ROUND((Source!CR33/IF(Source!BB33&lt;&gt;0,Source!BB33,1)*Source!I33),2)+ROUND((Source!CQ33/IF(Source!BC33&lt;&gt;0,Source!BC33,1)*Source!I33),2)+ROUND((Source!CT33/IF(Source!BA33&lt;&gt;0,Source!BA33,1)*Source!I33),2)</f>
        <v>2690.4</v>
      </c>
      <c r="I70" s="32" t="str">
        <f>IF(Source!BO33&lt;&gt;"",Source!BO33,"")</f>
        <v>403-8023</v>
      </c>
      <c r="J70" s="14">
        <f>Source!BC33</f>
        <v>5.74</v>
      </c>
      <c r="K70" s="16">
        <f>Source!O33</f>
        <v>15442.9</v>
      </c>
      <c r="L70" s="14"/>
      <c r="N70">
        <f>ROUND((Source!CT33/IF(Source!BA33&lt;&gt;0,Source!BA33,1)*Source!I33),2)</f>
        <v>0</v>
      </c>
      <c r="O70">
        <f>IF(Source!BI33=1,(ROUND((Source!CR33/IF(Source!BB33&lt;&gt;0,Source!BB33,1)*Source!I33),2)+ROUND((Source!CQ33/IF(Source!BC33&lt;&gt;0,Source!BC33,1)*Source!I33),2)+ROUND((Source!CT33/IF(Source!BA33&lt;&gt;0,Source!BA33,1)*Source!I33),2)),0)</f>
        <v>2690.4</v>
      </c>
      <c r="P70">
        <f>IF(Source!BI33=2,(ROUND((Source!CR33/IF(Source!BB33&lt;&gt;0,Source!BB33,1)*Source!I33),2)+ROUND((Source!CQ33/IF(Source!BC33&lt;&gt;0,Source!BC33,1)*Source!I33),2)+ROUND((Source!CT33/IF(Source!BA33&lt;&gt;0,Source!BA33,1)*Source!I33),2)),0)</f>
        <v>0</v>
      </c>
      <c r="Q70">
        <f>IF(Source!BI33=3,(ROUND((Source!CR33/IF(Source!BB33&lt;&gt;0,Source!BB33,1)*Source!I33),2)+ROUND((Source!CQ33/IF(Source!BC33&lt;&gt;0,Source!BC33,1)*Source!I33),2)+ROUND((Source!CT33/IF(Source!BA33&lt;&gt;0,Source!BA33,1)*Source!I33),2)),0)</f>
        <v>0</v>
      </c>
      <c r="R70">
        <f>IF(Source!BI33=4,(ROUND((Source!CR33/IF(Source!BB33&lt;&gt;0,Source!BB33,1)*Source!I33),2)+ROUND((Source!CQ33/IF(Source!BC33&lt;&gt;0,Source!BC33,1)*Source!I33),2)+ROUND((Source!CT33/IF(Source!BA33&lt;&gt;0,Source!BA33,1)*Source!I33),2)),0)</f>
        <v>0</v>
      </c>
      <c r="S70">
        <f>IF(Source!BI33=1,Source!O33+Source!X33+Source!Y33,0)</f>
        <v>15442.9</v>
      </c>
      <c r="T70">
        <f>IF(Source!BI33=2,Source!O33+Source!X33+Source!Y33,0)</f>
        <v>0</v>
      </c>
      <c r="U70">
        <f>IF(Source!BI33=3,Source!O33+Source!X33+Source!Y33,0)</f>
        <v>0</v>
      </c>
      <c r="V70">
        <f>IF(Source!BI33=4,Source!O33+Source!X33+Source!Y33,0)</f>
        <v>0</v>
      </c>
      <c r="W70">
        <f>ROUND((Source!CS33/IF(Source!BS33&lt;&gt;0,Source!BS33,1)*Source!I33),2)</f>
        <v>0</v>
      </c>
      <c r="X70">
        <f>ROUND((Source!FX33/100)*(ROUND((Source!CT33/IF(Source!BA33&lt;&gt;0,Source!BA33,1)*Source!I33),2)+ROUND((Source!CS33/IF(Source!BS33&lt;&gt;0,Source!BS33,1)*Source!I33),2)),2)</f>
        <v>0</v>
      </c>
      <c r="Y70">
        <f>ROUND((Source!FY33/100)*(ROUND((Source!CT33/IF(Source!BA33&lt;&gt;0,Source!BA33,1)*Source!I33),2)+ROUND((Source!CS33/IF(Source!BS33&lt;&gt;0,Source!BS33,1)*Source!I33),2)),2)</f>
        <v>0</v>
      </c>
    </row>
    <row r="71" spans="1:25" ht="30">
      <c r="A71" s="42" t="str">
        <f>Source!E34</f>
        <v>3,2</v>
      </c>
      <c r="B71" s="42" t="str">
        <f>Source!F34</f>
        <v>413-9010</v>
      </c>
      <c r="C71" s="43" t="str">
        <f>Source!G34</f>
        <v>Камни бортовые</v>
      </c>
      <c r="D71" s="44" t="str">
        <f>Source!H34</f>
        <v>м</v>
      </c>
      <c r="E71" s="34">
        <f>ROUND(Source!I34,6)</f>
        <v>60</v>
      </c>
      <c r="F71" s="37">
        <f>IF(Source!GB34=0,Source!GA34,Source!GB34)</f>
        <v>0</v>
      </c>
      <c r="G71" s="36">
        <f>Source!DD34</f>
      </c>
      <c r="H71" s="45">
        <f>ROUND((Source!GF34*Source!I34),2)</f>
        <v>0</v>
      </c>
      <c r="I71" s="36" t="str">
        <f>IF(Source!BO34&lt;&gt;"",Source!BO34,"")</f>
        <v>413-9010</v>
      </c>
      <c r="J71" s="34">
        <f>Source!BC34</f>
        <v>1</v>
      </c>
      <c r="K71" s="37">
        <f>Source!O34</f>
        <v>0</v>
      </c>
      <c r="L71" s="34"/>
      <c r="N71">
        <f>ROUND(Source!GJ34*Source!I34,2)</f>
        <v>0</v>
      </c>
      <c r="O71">
        <f>IF(Source!BI34=1,(ROUND((Source!GF34*Source!I34),2)),0)</f>
        <v>0</v>
      </c>
      <c r="P71">
        <f>IF(Source!BI34=2,(ROUND((Source!GF34*Source!I34),2)),0)</f>
        <v>0</v>
      </c>
      <c r="Q71">
        <f>IF(Source!BI34=3,(ROUND((Source!GF34*Source!I34),2)),0)</f>
        <v>0</v>
      </c>
      <c r="R71">
        <f>IF(Source!BI34=4,(ROUND((Source!GF34*Source!I34),2)),0)</f>
        <v>0</v>
      </c>
      <c r="S71">
        <f>IF(Source!BI34=1,Source!O34+Source!X34+Source!Y34,0)</f>
        <v>0</v>
      </c>
      <c r="T71">
        <f>IF(Source!BI34=2,Source!O34+Source!X34+Source!Y34,0)</f>
        <v>0</v>
      </c>
      <c r="U71">
        <f>IF(Source!BI34=3,Source!O34+Source!X34+Source!Y34,0)</f>
        <v>0</v>
      </c>
      <c r="V71">
        <f>IF(Source!BI34=4,Source!O34+Source!X34+Source!Y34,0)</f>
        <v>0</v>
      </c>
      <c r="W71">
        <f>ROUND(Source!GI34*Source!I34,2)</f>
        <v>0</v>
      </c>
      <c r="X71">
        <f>ROUND((Source!FX34/100)*(ROUND(Source!GJ34*Source!I34,2)+ROUND(Source!GI34*Source!I34,2)),2)</f>
        <v>0</v>
      </c>
      <c r="Y71">
        <f>ROUND((Source!FY34/100)*(ROUND(Source!GJ34*Source!I34,2)+ROUND(Source!GI34*Source!I34,2)),2)</f>
        <v>0</v>
      </c>
    </row>
    <row r="72" spans="1:23" ht="15.75">
      <c r="A72" s="14"/>
      <c r="B72" s="14"/>
      <c r="C72" s="14"/>
      <c r="D72" s="14"/>
      <c r="E72" s="14"/>
      <c r="F72" s="14"/>
      <c r="G72" s="14"/>
      <c r="H72" s="38">
        <f>ROUND((Source!CT32/IF(Source!BA32&lt;&gt;0,Source!BA32,1)*Source!I32),2)+ROUND((Source!CR32/IF(Source!BB32&lt;&gt;0,Source!BB32,1)*Source!I32),2)+H66+H67+H68+H70+H71</f>
        <v>6372.450000000001</v>
      </c>
      <c r="I72" s="39"/>
      <c r="J72" s="39"/>
      <c r="K72" s="38">
        <f>Source!S32+Source!Q32+K66+K67+K68+K70+K71</f>
        <v>48334.25</v>
      </c>
      <c r="L72" s="38">
        <f>Source!U32</f>
        <v>45.647999999999996</v>
      </c>
      <c r="M72" s="33">
        <f>H72</f>
        <v>6372.450000000001</v>
      </c>
      <c r="N72">
        <f>ROUND((Source!CT32/IF(Source!BA32&lt;&gt;0,Source!BA32,1)*Source!I32),2)</f>
        <v>386.18</v>
      </c>
      <c r="O72">
        <f>IF(Source!BI32=1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3682.0599300000003</v>
      </c>
      <c r="P72">
        <f>IF(Source!BI32=2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Q72">
        <f>IF(Source!BI32=3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R72">
        <f>IF(Source!BI32=4,((((Source!CT32/IF(Source!BA32&lt;&gt;0,Source!BA32,1)*Source!I32)+(Source!CR32/IF(Source!BB32&lt;&gt;0,Source!BB32,1)*Source!I32)+(Source!CQ32/IF(Source!BC32&lt;&gt;0,Source!BC32,1)*Source!I32))+((Source!FX32/100)*((Source!CT32/IF(Source!BA32&lt;&gt;0,Source!BA32,1)*Source!I32)+(Source!CS32/IF(Source!BS32&lt;&gt;0,Source!BS32,1)*Source!I32)))+((Source!FY32/100)*((Source!CT32/IF(Source!BA32&lt;&gt;0,Source!BA32,1)*Source!I32)+(Source!CS32/IF(Source!BS32&lt;&gt;0,Source!BS32,1)*Source!I32))))),0)</f>
        <v>0</v>
      </c>
      <c r="S72">
        <f>IF(Source!BI32=1,Source!O32+Source!X32+Source!Y32,0)</f>
        <v>32891.35</v>
      </c>
      <c r="T72">
        <f>IF(Source!BI32=2,Source!O32+Source!X32+Source!Y32,0)</f>
        <v>0</v>
      </c>
      <c r="U72">
        <f>IF(Source!BI32=3,Source!O32+Source!X32+Source!Y32,0)</f>
        <v>0</v>
      </c>
      <c r="V72">
        <f>IF(Source!BI32=4,Source!O32+Source!X32+Source!Y32,0)</f>
        <v>0</v>
      </c>
      <c r="W72">
        <f>ROUND((Source!CS32/IF(Source!BS32&lt;&gt;0,Source!BS32,1)*Source!I32),2)</f>
        <v>5.51</v>
      </c>
    </row>
    <row r="74" spans="3:23" s="39" customFormat="1" ht="15.75">
      <c r="C74" s="39" t="s">
        <v>176</v>
      </c>
      <c r="G74" s="107">
        <f>SUM(M45:M73)</f>
        <v>18717.95</v>
      </c>
      <c r="H74" s="107"/>
      <c r="J74" s="107">
        <f>ROUND(Source!AB26+Source!AK26+Source!AL26+Source!AE26*0/100,2)</f>
        <v>150990.55</v>
      </c>
      <c r="K74" s="107"/>
      <c r="L74" s="38">
        <f>Source!AH26</f>
        <v>206.23</v>
      </c>
      <c r="N74" s="38">
        <f aca="true" t="shared" si="0" ref="N74:W74">SUM(N45:N73)</f>
        <v>1700.19</v>
      </c>
      <c r="O74" s="38">
        <f t="shared" si="0"/>
        <v>18717.956178</v>
      </c>
      <c r="P74" s="38">
        <f t="shared" si="0"/>
        <v>0</v>
      </c>
      <c r="Q74" s="38">
        <f t="shared" si="0"/>
        <v>0</v>
      </c>
      <c r="R74" s="38">
        <f t="shared" si="0"/>
        <v>0</v>
      </c>
      <c r="S74" s="38">
        <f t="shared" si="0"/>
        <v>150990.55000000002</v>
      </c>
      <c r="T74" s="38">
        <f t="shared" si="0"/>
        <v>0</v>
      </c>
      <c r="U74" s="38">
        <f t="shared" si="0"/>
        <v>0</v>
      </c>
      <c r="V74" s="38">
        <f t="shared" si="0"/>
        <v>0</v>
      </c>
      <c r="W74" s="39">
        <f t="shared" si="0"/>
        <v>12.67</v>
      </c>
    </row>
    <row r="76" spans="3:30" ht="18">
      <c r="C76" s="26" t="s">
        <v>390</v>
      </c>
      <c r="D76" s="106" t="str">
        <f>IF(Source!C12="1",Source!F52,Source!G52)</f>
        <v>Расширение дороги</v>
      </c>
      <c r="E76" s="108"/>
      <c r="F76" s="108"/>
      <c r="G76" s="108"/>
      <c r="H76" s="108"/>
      <c r="I76" s="108"/>
      <c r="J76" s="108"/>
      <c r="K76" s="108"/>
      <c r="L76" s="108"/>
      <c r="AD76" s="28" t="str">
        <f>IF(Source!C12="1",Source!F52,Source!G52)</f>
        <v>Расширение дороги</v>
      </c>
    </row>
    <row r="78" spans="1:12" ht="75">
      <c r="A78" s="29" t="str">
        <f>Source!E56</f>
        <v>4</v>
      </c>
      <c r="B78" s="29" t="str">
        <f>Source!F56</f>
        <v>01-01-013-14</v>
      </c>
      <c r="C78" s="30" t="str">
        <f>Source!G56</f>
        <v>Разработка грунта с погрузкой на автомобили-самосвалы экскаваторами с ковшом вместимостью 0,5 (0,5-0,63) м3, группа грунтов 2</v>
      </c>
      <c r="D78" s="31" t="str">
        <f>Source!H56</f>
        <v>1000 м3</v>
      </c>
      <c r="E78" s="14">
        <f>ROUND(Source!I56,6)</f>
        <v>0.0205</v>
      </c>
      <c r="F78" s="16">
        <f>IF(Source!AK56&lt;&gt;0,Source!AK56,Source!AL56+Source!AM56+Source!AO56)</f>
        <v>4277.16</v>
      </c>
      <c r="G78" s="14"/>
      <c r="H78" s="14"/>
      <c r="I78" s="32" t="str">
        <f>IF(Source!BO56&lt;&gt;"",Source!BO56,"")</f>
        <v>01-01-013-14</v>
      </c>
      <c r="J78" s="14"/>
      <c r="K78" s="14"/>
      <c r="L78" s="14"/>
    </row>
    <row r="79" spans="1:12" ht="15">
      <c r="A79" s="14"/>
      <c r="B79" s="14"/>
      <c r="C79" s="14" t="s">
        <v>391</v>
      </c>
      <c r="D79" s="14"/>
      <c r="E79" s="14"/>
      <c r="F79" s="16">
        <f>Source!AO56</f>
        <v>117.62</v>
      </c>
      <c r="G79" s="32">
        <f>Source!DG56</f>
      </c>
      <c r="H79" s="16">
        <f>ROUND((Source!CT56/IF(Source!BA56&lt;&gt;0,Source!BA56,1)*Source!I56),2)</f>
        <v>2.41</v>
      </c>
      <c r="I79" s="14"/>
      <c r="J79" s="14">
        <f>Source!BA56</f>
        <v>17.63</v>
      </c>
      <c r="K79" s="16">
        <f>Source!S56</f>
        <v>42.51</v>
      </c>
      <c r="L79" s="14"/>
    </row>
    <row r="80" spans="1:12" ht="15">
      <c r="A80" s="14"/>
      <c r="B80" s="14"/>
      <c r="C80" s="14" t="s">
        <v>58</v>
      </c>
      <c r="D80" s="14"/>
      <c r="E80" s="14"/>
      <c r="F80" s="16">
        <f>Source!AM56</f>
        <v>4155.2</v>
      </c>
      <c r="G80" s="32">
        <f>Source!DE56</f>
      </c>
      <c r="H80" s="16">
        <f>ROUND((Source!CR56/IF(Source!BB56&lt;&gt;0,Source!BB56,1)*Source!I56),2)</f>
        <v>85.18</v>
      </c>
      <c r="I80" s="14"/>
      <c r="J80" s="14">
        <f>Source!BB56</f>
        <v>8.67</v>
      </c>
      <c r="K80" s="16">
        <f>Source!Q56</f>
        <v>738.52</v>
      </c>
      <c r="L80" s="14"/>
    </row>
    <row r="81" spans="1:12" ht="15">
      <c r="A81" s="14"/>
      <c r="B81" s="14"/>
      <c r="C81" s="14" t="s">
        <v>396</v>
      </c>
      <c r="D81" s="14"/>
      <c r="E81" s="14"/>
      <c r="F81" s="16">
        <f>Source!AN56</f>
        <v>598.18</v>
      </c>
      <c r="G81" s="32">
        <f>Source!DF56</f>
      </c>
      <c r="H81" s="40">
        <f>ROUND((Source!CS56/IF(Source!BS56&lt;&gt;0,Source!BS56,1)*Source!I56),2)</f>
        <v>12.26</v>
      </c>
      <c r="I81" s="14"/>
      <c r="J81" s="14">
        <f>Source!BS56</f>
        <v>17.63</v>
      </c>
      <c r="K81" s="40">
        <f>Source!R56</f>
        <v>216.19</v>
      </c>
      <c r="L81" s="14"/>
    </row>
    <row r="82" spans="1:12" ht="15">
      <c r="A82" s="14"/>
      <c r="B82" s="14"/>
      <c r="C82" s="14" t="s">
        <v>397</v>
      </c>
      <c r="D82" s="14"/>
      <c r="E82" s="14"/>
      <c r="F82" s="16">
        <f>Source!AL56</f>
        <v>4.34</v>
      </c>
      <c r="G82" s="32">
        <f>Source!DD56</f>
      </c>
      <c r="H82" s="16">
        <f>ROUND((Source!CQ56/IF(Source!BC56&lt;&gt;0,Source!BC56,1)*Source!I56),2)</f>
        <v>0.09</v>
      </c>
      <c r="I82" s="14"/>
      <c r="J82" s="14">
        <f>Source!BC56</f>
        <v>11.94</v>
      </c>
      <c r="K82" s="16">
        <f>Source!P56</f>
        <v>1.06</v>
      </c>
      <c r="L82" s="14"/>
    </row>
    <row r="83" spans="1:24" ht="15">
      <c r="A83" s="14"/>
      <c r="B83" s="14"/>
      <c r="C83" s="14" t="s">
        <v>392</v>
      </c>
      <c r="D83" s="17" t="s">
        <v>393</v>
      </c>
      <c r="E83" s="14"/>
      <c r="F83" s="16">
        <f>Source!BZ56</f>
        <v>95</v>
      </c>
      <c r="G83" s="14"/>
      <c r="H83" s="16">
        <f>X83</f>
        <v>13.94</v>
      </c>
      <c r="I83" s="14" t="str">
        <f>Source!FV56</f>
        <v>((*0.85))</v>
      </c>
      <c r="J83" s="16">
        <f>Source!AT56</f>
        <v>81</v>
      </c>
      <c r="K83" s="16">
        <f>Source!X56</f>
        <v>209.55</v>
      </c>
      <c r="L83" s="14"/>
      <c r="X83">
        <f>ROUND((Source!FX56/100)*(ROUND((Source!CT56/IF(Source!BA56&lt;&gt;0,Source!BA56,1)*Source!I56),2)+ROUND((Source!CS56/IF(Source!BS56&lt;&gt;0,Source!BS56,1)*Source!I56),2)),2)</f>
        <v>13.94</v>
      </c>
    </row>
    <row r="84" spans="1:25" ht="15">
      <c r="A84" s="14"/>
      <c r="B84" s="14"/>
      <c r="C84" s="14" t="s">
        <v>74</v>
      </c>
      <c r="D84" s="17" t="s">
        <v>393</v>
      </c>
      <c r="E84" s="14"/>
      <c r="F84" s="16">
        <f>Source!CA56</f>
        <v>50</v>
      </c>
      <c r="G84" s="14" t="str">
        <f>Source!FU56</f>
        <v>*0.85</v>
      </c>
      <c r="H84" s="16">
        <f>Y84</f>
        <v>6.23</v>
      </c>
      <c r="I84" s="14" t="str">
        <f>Source!FW56</f>
        <v>((*0.8))</v>
      </c>
      <c r="J84" s="16">
        <f>Source!AU56</f>
        <v>34</v>
      </c>
      <c r="K84" s="16">
        <f>Source!Y56</f>
        <v>87.96</v>
      </c>
      <c r="L84" s="14"/>
      <c r="Y84">
        <f>ROUND((Source!FY56/100)*(ROUND((Source!CT56/IF(Source!BA56&lt;&gt;0,Source!BA56,1)*Source!I56),2)+ROUND((Source!CS56/IF(Source!BS56&lt;&gt;0,Source!BS56,1)*Source!I56),2)),2)</f>
        <v>6.23</v>
      </c>
    </row>
    <row r="85" spans="1:12" ht="15">
      <c r="A85" s="34"/>
      <c r="B85" s="34"/>
      <c r="C85" s="34" t="s">
        <v>394</v>
      </c>
      <c r="D85" s="35" t="s">
        <v>395</v>
      </c>
      <c r="E85" s="34">
        <f>Source!AQ56</f>
        <v>15.08</v>
      </c>
      <c r="F85" s="34"/>
      <c r="G85" s="36">
        <f>Source!DI56</f>
      </c>
      <c r="H85" s="34"/>
      <c r="I85" s="34"/>
      <c r="J85" s="34"/>
      <c r="K85" s="34"/>
      <c r="L85" s="37">
        <f>Source!U56</f>
        <v>0.30914</v>
      </c>
    </row>
    <row r="86" spans="1:23" ht="15.75">
      <c r="A86" s="14"/>
      <c r="B86" s="14"/>
      <c r="C86" s="14"/>
      <c r="D86" s="14"/>
      <c r="E86" s="14"/>
      <c r="F86" s="14"/>
      <c r="G86" s="14"/>
      <c r="H86" s="38">
        <f>ROUND((Source!CT56/IF(Source!BA56&lt;&gt;0,Source!BA56,1)*Source!I56),2)+ROUND((Source!CR56/IF(Source!BB56&lt;&gt;0,Source!BB56,1)*Source!I56),2)+H82+H83+H84</f>
        <v>107.85000000000001</v>
      </c>
      <c r="I86" s="39"/>
      <c r="J86" s="39"/>
      <c r="K86" s="38">
        <f>Source!S56+Source!Q56+K82+K83+K84</f>
        <v>1079.6</v>
      </c>
      <c r="L86" s="38">
        <f>Source!U56</f>
        <v>0.30914</v>
      </c>
      <c r="M86" s="33">
        <f>H86</f>
        <v>107.85000000000001</v>
      </c>
      <c r="N86">
        <f>ROUND((Source!CT56/IF(Source!BA56&lt;&gt;0,Source!BA56,1)*Source!I56),2)</f>
        <v>2.41</v>
      </c>
      <c r="O86">
        <f>IF(Source!BI56=1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107.8583925</v>
      </c>
      <c r="P86">
        <f>IF(Source!BI56=2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Q86">
        <f>IF(Source!BI56=3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R86">
        <f>IF(Source!BI56=4,((((Source!CT56/IF(Source!BA56&lt;&gt;0,Source!BA56,1)*Source!I56)+(Source!CR56/IF(Source!BB56&lt;&gt;0,Source!BB56,1)*Source!I56)+(Source!CQ56/IF(Source!BC56&lt;&gt;0,Source!BC56,1)*Source!I56))+((Source!FX56/100)*((Source!CT56/IF(Source!BA56&lt;&gt;0,Source!BA56,1)*Source!I56)+(Source!CS56/IF(Source!BS56&lt;&gt;0,Source!BS56,1)*Source!I56)))+((Source!FY56/100)*((Source!CT56/IF(Source!BA56&lt;&gt;0,Source!BA56,1)*Source!I56)+(Source!CS56/IF(Source!BS56&lt;&gt;0,Source!BS56,1)*Source!I56))))),0)</f>
        <v>0</v>
      </c>
      <c r="S86">
        <f>IF(Source!BI56=1,Source!O56+Source!X56+Source!Y56,0)</f>
        <v>1079.6000000000001</v>
      </c>
      <c r="T86">
        <f>IF(Source!BI56=2,Source!O56+Source!X56+Source!Y56,0)</f>
        <v>0</v>
      </c>
      <c r="U86">
        <f>IF(Source!BI56=3,Source!O56+Source!X56+Source!Y56,0)</f>
        <v>0</v>
      </c>
      <c r="V86">
        <f>IF(Source!BI56=4,Source!O56+Source!X56+Source!Y56,0)</f>
        <v>0</v>
      </c>
      <c r="W86">
        <f>ROUND((Source!CS56/IF(Source!BS56&lt;&gt;0,Source!BS56,1)*Source!I56),2)</f>
        <v>12.26</v>
      </c>
    </row>
    <row r="87" spans="1:12" ht="30">
      <c r="A87" s="29" t="str">
        <f>Source!E57</f>
        <v>5</v>
      </c>
      <c r="B87" s="29" t="str">
        <f>Source!F57</f>
        <v>Техчасть индексов</v>
      </c>
      <c r="C87" s="30" t="str">
        <f>Source!G57</f>
        <v>Вывоз грунта на 10 км</v>
      </c>
      <c r="D87" s="31" t="str">
        <f>Source!H57</f>
        <v>т</v>
      </c>
      <c r="E87" s="14">
        <f>ROUND(Source!I57,6)</f>
        <v>36</v>
      </c>
      <c r="F87" s="16">
        <f>IF(Source!AK57&lt;&gt;0,Source!AK57,Source!AL57+Source!AM57+Source!AO57)</f>
        <v>14.63</v>
      </c>
      <c r="G87" s="14"/>
      <c r="H87" s="14"/>
      <c r="I87" s="32">
        <f>IF(Source!BO57&lt;&gt;"",Source!BO57,"")</f>
      </c>
      <c r="J87" s="14"/>
      <c r="K87" s="14"/>
      <c r="L87" s="14"/>
    </row>
    <row r="88" spans="1:12" ht="15">
      <c r="A88" s="34"/>
      <c r="B88" s="34"/>
      <c r="C88" s="34" t="s">
        <v>58</v>
      </c>
      <c r="D88" s="34"/>
      <c r="E88" s="34"/>
      <c r="F88" s="37">
        <f>Source!AM57</f>
        <v>14.63</v>
      </c>
      <c r="G88" s="36">
        <f>Source!DE57</f>
      </c>
      <c r="H88" s="37">
        <f>ROUND((Source!CR57/IF(Source!BB57&lt;&gt;0,Source!BB57,1)*Source!I57),2)</f>
        <v>526.68</v>
      </c>
      <c r="I88" s="34"/>
      <c r="J88" s="34">
        <f>Source!BB57</f>
        <v>5.32</v>
      </c>
      <c r="K88" s="37">
        <f>Source!Q57</f>
        <v>2801.94</v>
      </c>
      <c r="L88" s="34"/>
    </row>
    <row r="89" spans="1:23" ht="15.75">
      <c r="A89" s="14"/>
      <c r="B89" s="14"/>
      <c r="C89" s="14"/>
      <c r="D89" s="14"/>
      <c r="E89" s="14"/>
      <c r="F89" s="14"/>
      <c r="G89" s="14"/>
      <c r="H89" s="38">
        <f>ROUND((Source!CT57/IF(Source!BA57&lt;&gt;0,Source!BA57,1)*Source!I57),2)+ROUND((Source!CR57/IF(Source!BB57&lt;&gt;0,Source!BB57,1)*Source!I57),2)</f>
        <v>526.68</v>
      </c>
      <c r="I89" s="39"/>
      <c r="J89" s="39"/>
      <c r="K89" s="38">
        <f>Source!S57+Source!Q57</f>
        <v>2801.94</v>
      </c>
      <c r="L89" s="38">
        <f>Source!U57</f>
        <v>0</v>
      </c>
      <c r="M89" s="33">
        <f>H89</f>
        <v>526.68</v>
      </c>
      <c r="N89">
        <f>ROUND((Source!CT57/IF(Source!BA57&lt;&gt;0,Source!BA57,1)*Source!I57),2)</f>
        <v>0</v>
      </c>
      <c r="O89">
        <f>IF(Source!BI57=1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P89">
        <f>IF(Source!BI57=2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Q89">
        <f>IF(Source!BI57=3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0</v>
      </c>
      <c r="R89">
        <f>IF(Source!BI57=4,((((Source!CT57/IF(Source!BA57&lt;&gt;0,Source!BA57,1)*Source!I57)+(Source!CR57/IF(Source!BB57&lt;&gt;0,Source!BB57,1)*Source!I57)+(Source!CQ57/IF(Source!BC57&lt;&gt;0,Source!BC57,1)*Source!I57))+((Source!FX57/100)*((Source!CT57/IF(Source!BA57&lt;&gt;0,Source!BA57,1)*Source!I57)+(Source!CS57/IF(Source!BS57&lt;&gt;0,Source!BS57,1)*Source!I57)))+((Source!FY57/100)*((Source!CT57/IF(Source!BA57&lt;&gt;0,Source!BA57,1)*Source!I57)+(Source!CS57/IF(Source!BS57&lt;&gt;0,Source!BS57,1)*Source!I57))))),0)</f>
        <v>526.6800000000001</v>
      </c>
      <c r="S89">
        <f>IF(Source!BI57=1,Source!O57+Source!X57+Source!Y57,0)</f>
        <v>0</v>
      </c>
      <c r="T89">
        <f>IF(Source!BI57=2,Source!O57+Source!X57+Source!Y57,0)</f>
        <v>0</v>
      </c>
      <c r="U89">
        <f>IF(Source!BI57=3,Source!O57+Source!X57+Source!Y57,0)</f>
        <v>0</v>
      </c>
      <c r="V89">
        <f>IF(Source!BI57=4,Source!O57+Source!X57+Source!Y57,0)</f>
        <v>2801.94</v>
      </c>
      <c r="W89">
        <f>ROUND((Source!CS57/IF(Source!BS57&lt;&gt;0,Source!BS57,1)*Source!I57),2)</f>
        <v>0</v>
      </c>
    </row>
    <row r="90" spans="1:12" ht="45">
      <c r="A90" s="29" t="str">
        <f>Source!E58</f>
        <v>6</v>
      </c>
      <c r="B90" s="29" t="str">
        <f>Source!F58</f>
        <v>27-04-001-1</v>
      </c>
      <c r="C90" s="30" t="str">
        <f>Source!G58</f>
        <v>Устройство подстилающих и выравнивающих слоев оснований из песка</v>
      </c>
      <c r="D90" s="31" t="str">
        <f>Source!H58</f>
        <v>100 м3</v>
      </c>
      <c r="E90" s="14">
        <f>ROUND(Source!I58,6)</f>
        <v>0.164</v>
      </c>
      <c r="F90" s="16">
        <f>IF(Source!AK58&lt;&gt;0,Source!AK58,Source!AL58+Source!AM58+Source!AO58)</f>
        <v>2324.46</v>
      </c>
      <c r="G90" s="14"/>
      <c r="H90" s="14"/>
      <c r="I90" s="32" t="str">
        <f>IF(Source!BO58&lt;&gt;"",Source!BO58,"")</f>
        <v>27-04-001-1</v>
      </c>
      <c r="J90" s="14"/>
      <c r="K90" s="14"/>
      <c r="L90" s="14"/>
    </row>
    <row r="91" spans="1:12" ht="15">
      <c r="A91" s="14"/>
      <c r="B91" s="14"/>
      <c r="C91" s="14" t="s">
        <v>391</v>
      </c>
      <c r="D91" s="14"/>
      <c r="E91" s="14"/>
      <c r="F91" s="16">
        <f>Source!AO58</f>
        <v>126.07</v>
      </c>
      <c r="G91" s="32">
        <f>Source!DG58</f>
      </c>
      <c r="H91" s="16">
        <f>ROUND((Source!CT58/IF(Source!BA58&lt;&gt;0,Source!BA58,1)*Source!I58),2)</f>
        <v>20.68</v>
      </c>
      <c r="I91" s="14"/>
      <c r="J91" s="14">
        <f>Source!BA58</f>
        <v>17.84</v>
      </c>
      <c r="K91" s="16">
        <f>Source!S58</f>
        <v>368.85</v>
      </c>
      <c r="L91" s="14"/>
    </row>
    <row r="92" spans="1:12" ht="15">
      <c r="A92" s="14"/>
      <c r="B92" s="14"/>
      <c r="C92" s="14" t="s">
        <v>58</v>
      </c>
      <c r="D92" s="14"/>
      <c r="E92" s="14"/>
      <c r="F92" s="16">
        <f>Source!AM58</f>
        <v>2186.19</v>
      </c>
      <c r="G92" s="32">
        <f>Source!DE58</f>
      </c>
      <c r="H92" s="16">
        <f>ROUND((Source!CR58/IF(Source!BB58&lt;&gt;0,Source!BB58,1)*Source!I58),2)</f>
        <v>358.54</v>
      </c>
      <c r="I92" s="14"/>
      <c r="J92" s="14">
        <f>Source!BB58</f>
        <v>5.79</v>
      </c>
      <c r="K92" s="16">
        <f>Source!Q58</f>
        <v>2075.92</v>
      </c>
      <c r="L92" s="14"/>
    </row>
    <row r="93" spans="1:12" ht="15">
      <c r="A93" s="14"/>
      <c r="B93" s="14"/>
      <c r="C93" s="14" t="s">
        <v>396</v>
      </c>
      <c r="D93" s="14"/>
      <c r="E93" s="14"/>
      <c r="F93" s="16">
        <f>Source!AN58</f>
        <v>177.53</v>
      </c>
      <c r="G93" s="32">
        <f>Source!DF58</f>
      </c>
      <c r="H93" s="40">
        <f>ROUND((Source!CS58/IF(Source!BS58&lt;&gt;0,Source!BS58,1)*Source!I58),2)</f>
        <v>29.11</v>
      </c>
      <c r="I93" s="14"/>
      <c r="J93" s="14">
        <f>Source!BS58</f>
        <v>17.84</v>
      </c>
      <c r="K93" s="40">
        <f>Source!R58</f>
        <v>519.41</v>
      </c>
      <c r="L93" s="14"/>
    </row>
    <row r="94" spans="1:12" ht="15">
      <c r="A94" s="14"/>
      <c r="B94" s="14"/>
      <c r="C94" s="14" t="s">
        <v>397</v>
      </c>
      <c r="D94" s="14"/>
      <c r="E94" s="14"/>
      <c r="F94" s="16">
        <f>Source!AL58</f>
        <v>12.2</v>
      </c>
      <c r="G94" s="32">
        <f>Source!DD58</f>
      </c>
      <c r="H94" s="16">
        <f>ROUND((Source!CQ58/IF(Source!BC58&lt;&gt;0,Source!BC58,1)*Source!I58),2)</f>
        <v>2</v>
      </c>
      <c r="I94" s="14"/>
      <c r="J94" s="14">
        <f>Source!BC58</f>
        <v>4.95</v>
      </c>
      <c r="K94" s="16">
        <f>Source!P58</f>
        <v>9.9</v>
      </c>
      <c r="L94" s="14"/>
    </row>
    <row r="95" spans="1:24" ht="15">
      <c r="A95" s="14"/>
      <c r="B95" s="14"/>
      <c r="C95" s="14" t="s">
        <v>392</v>
      </c>
      <c r="D95" s="17" t="s">
        <v>393</v>
      </c>
      <c r="E95" s="14"/>
      <c r="F95" s="16">
        <f>Source!BZ58</f>
        <v>142</v>
      </c>
      <c r="G95" s="14"/>
      <c r="H95" s="16">
        <f>X95+X98</f>
        <v>70.7</v>
      </c>
      <c r="I95" s="14" t="str">
        <f>Source!FV58</f>
        <v>((*0.85))</v>
      </c>
      <c r="J95" s="16">
        <f>Source!AT58</f>
        <v>121</v>
      </c>
      <c r="K95" s="16">
        <f>Source!X58+Source!X59</f>
        <v>1074.79</v>
      </c>
      <c r="L95" s="14"/>
      <c r="X95">
        <f>ROUND((Source!FX58/100)*(ROUND((Source!CT58/IF(Source!BA58&lt;&gt;0,Source!BA58,1)*Source!I58),2)+ROUND((Source!CS58/IF(Source!BS58&lt;&gt;0,Source!BS58,1)*Source!I58),2)),2)</f>
        <v>70.7</v>
      </c>
    </row>
    <row r="96" spans="1:25" ht="15">
      <c r="A96" s="14"/>
      <c r="B96" s="14"/>
      <c r="C96" s="14" t="s">
        <v>74</v>
      </c>
      <c r="D96" s="17" t="s">
        <v>393</v>
      </c>
      <c r="E96" s="14"/>
      <c r="F96" s="16">
        <f>Source!CA58</f>
        <v>95</v>
      </c>
      <c r="G96" s="14" t="str">
        <f>Source!FU58</f>
        <v>*0.85</v>
      </c>
      <c r="H96" s="16">
        <f>Y96+Y98</f>
        <v>40.21</v>
      </c>
      <c r="I96" s="14" t="str">
        <f>Source!FW58</f>
        <v>((*0.8))</v>
      </c>
      <c r="J96" s="16">
        <f>Source!AU58</f>
        <v>65</v>
      </c>
      <c r="K96" s="16">
        <f>Source!Y58+Source!Y59</f>
        <v>577.37</v>
      </c>
      <c r="L96" s="14"/>
      <c r="Y96">
        <f>ROUND((Source!FY58/100)*(ROUND((Source!CT58/IF(Source!BA58&lt;&gt;0,Source!BA58,1)*Source!I58),2)+ROUND((Source!CS58/IF(Source!BS58&lt;&gt;0,Source!BS58,1)*Source!I58),2)),2)</f>
        <v>40.21</v>
      </c>
    </row>
    <row r="97" spans="1:12" ht="15">
      <c r="A97" s="14"/>
      <c r="B97" s="14"/>
      <c r="C97" s="14" t="s">
        <v>394</v>
      </c>
      <c r="D97" s="17" t="s">
        <v>395</v>
      </c>
      <c r="E97" s="14">
        <f>Source!AQ58</f>
        <v>15.72</v>
      </c>
      <c r="F97" s="14"/>
      <c r="G97" s="32">
        <f>Source!DI58</f>
      </c>
      <c r="H97" s="14"/>
      <c r="I97" s="14"/>
      <c r="J97" s="14"/>
      <c r="K97" s="14"/>
      <c r="L97" s="16">
        <f>Source!U58</f>
        <v>2.5780800000000004</v>
      </c>
    </row>
    <row r="98" spans="1:25" ht="30">
      <c r="A98" s="42" t="str">
        <f>Source!E59</f>
        <v>6,1</v>
      </c>
      <c r="B98" s="42" t="str">
        <f>Source!F59</f>
        <v>408-0122</v>
      </c>
      <c r="C98" s="43" t="str">
        <f>Source!G59</f>
        <v>Песок природный для строительных работ средний</v>
      </c>
      <c r="D98" s="44" t="str">
        <f>Source!H59</f>
        <v>м3</v>
      </c>
      <c r="E98" s="34">
        <f>ROUND(Source!I59,6)</f>
        <v>18.04</v>
      </c>
      <c r="F98" s="37">
        <f>IF(Source!AL59=0,Source!AK59,Source!AL59)</f>
        <v>55.26</v>
      </c>
      <c r="G98" s="36">
        <f>Source!DD59</f>
      </c>
      <c r="H98" s="45">
        <f>ROUND((Source!CR59/IF(Source!BB59&lt;&gt;0,Source!BB59,1)*Source!I59),2)+ROUND((Source!CQ59/IF(Source!BC59&lt;&gt;0,Source!BC59,1)*Source!I59),2)+ROUND((Source!CT59/IF(Source!BA59&lt;&gt;0,Source!BA59,1)*Source!I59),2)</f>
        <v>996.89</v>
      </c>
      <c r="I98" s="36" t="str">
        <f>IF(Source!BO59&lt;&gt;"",Source!BO59,"")</f>
        <v>408-0122</v>
      </c>
      <c r="J98" s="34">
        <f>Source!BC59</f>
        <v>9.25</v>
      </c>
      <c r="K98" s="37">
        <f>Source!O59</f>
        <v>9221.24</v>
      </c>
      <c r="L98" s="34"/>
      <c r="N98">
        <f>ROUND((Source!CT59/IF(Source!BA59&lt;&gt;0,Source!BA59,1)*Source!I59),2)</f>
        <v>0</v>
      </c>
      <c r="O98">
        <f>IF(Source!BI59=1,(ROUND((Source!CR59/IF(Source!BB59&lt;&gt;0,Source!BB59,1)*Source!I59),2)+ROUND((Source!CQ59/IF(Source!BC59&lt;&gt;0,Source!BC59,1)*Source!I59),2)+ROUND((Source!CT59/IF(Source!BA59&lt;&gt;0,Source!BA59,1)*Source!I59),2)),0)</f>
        <v>996.89</v>
      </c>
      <c r="P98">
        <f>IF(Source!BI59=2,(ROUND((Source!CR59/IF(Source!BB59&lt;&gt;0,Source!BB59,1)*Source!I59),2)+ROUND((Source!CQ59/IF(Source!BC59&lt;&gt;0,Source!BC59,1)*Source!I59),2)+ROUND((Source!CT59/IF(Source!BA59&lt;&gt;0,Source!BA59,1)*Source!I59),2)),0)</f>
        <v>0</v>
      </c>
      <c r="Q98">
        <f>IF(Source!BI59=3,(ROUND((Source!CR59/IF(Source!BB59&lt;&gt;0,Source!BB59,1)*Source!I59),2)+ROUND((Source!CQ59/IF(Source!BC59&lt;&gt;0,Source!BC59,1)*Source!I59),2)+ROUND((Source!CT59/IF(Source!BA59&lt;&gt;0,Source!BA59,1)*Source!I59),2)),0)</f>
        <v>0</v>
      </c>
      <c r="R98">
        <f>IF(Source!BI59=4,(ROUND((Source!CR59/IF(Source!BB59&lt;&gt;0,Source!BB59,1)*Source!I59),2)+ROUND((Source!CQ59/IF(Source!BC59&lt;&gt;0,Source!BC59,1)*Source!I59),2)+ROUND((Source!CT59/IF(Source!BA59&lt;&gt;0,Source!BA59,1)*Source!I59),2)),0)</f>
        <v>0</v>
      </c>
      <c r="S98">
        <f>IF(Source!BI59=1,Source!O59+Source!X59+Source!Y59,0)</f>
        <v>9221.24</v>
      </c>
      <c r="T98">
        <f>IF(Source!BI59=2,Source!O59+Source!X59+Source!Y59,0)</f>
        <v>0</v>
      </c>
      <c r="U98">
        <f>IF(Source!BI59=3,Source!O59+Source!X59+Source!Y59,0)</f>
        <v>0</v>
      </c>
      <c r="V98">
        <f>IF(Source!BI59=4,Source!O59+Source!X59+Source!Y59,0)</f>
        <v>0</v>
      </c>
      <c r="W98">
        <f>ROUND((Source!CS59/IF(Source!BS59&lt;&gt;0,Source!BS59,1)*Source!I59),2)</f>
        <v>0</v>
      </c>
      <c r="X98">
        <f>ROUND((Source!FX59/100)*(ROUND((Source!CT59/IF(Source!BA59&lt;&gt;0,Source!BA59,1)*Source!I59),2)+ROUND((Source!CS59/IF(Source!BS59&lt;&gt;0,Source!BS59,1)*Source!I59),2)),2)</f>
        <v>0</v>
      </c>
      <c r="Y98">
        <f>ROUND((Source!FY59/100)*(ROUND((Source!CT59/IF(Source!BA59&lt;&gt;0,Source!BA59,1)*Source!I59),2)+ROUND((Source!CS59/IF(Source!BS59&lt;&gt;0,Source!BS59,1)*Source!I59),2)),2)</f>
        <v>0</v>
      </c>
    </row>
    <row r="99" spans="1:23" ht="15.75">
      <c r="A99" s="14"/>
      <c r="B99" s="14"/>
      <c r="C99" s="14"/>
      <c r="D99" s="14"/>
      <c r="E99" s="14"/>
      <c r="F99" s="14"/>
      <c r="G99" s="14"/>
      <c r="H99" s="38">
        <f>ROUND((Source!CT58/IF(Source!BA58&lt;&gt;0,Source!BA58,1)*Source!I58),2)+ROUND((Source!CR58/IF(Source!BB58&lt;&gt;0,Source!BB58,1)*Source!I58),2)+H94+H95+H96+H98</f>
        <v>1489.02</v>
      </c>
      <c r="I99" s="39"/>
      <c r="J99" s="39"/>
      <c r="K99" s="38">
        <f>Source!S58+Source!Q58+K94+K95+K96+K98</f>
        <v>13328.07</v>
      </c>
      <c r="L99" s="38">
        <f>Source!U58</f>
        <v>2.5780800000000004</v>
      </c>
      <c r="M99" s="33">
        <f>H99</f>
        <v>1489.02</v>
      </c>
      <c r="N99">
        <f>ROUND((Source!CT58/IF(Source!BA58&lt;&gt;0,Source!BA58,1)*Source!I58),2)</f>
        <v>20.68</v>
      </c>
      <c r="O99">
        <f>IF(Source!BI58=1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492.11955600000005</v>
      </c>
      <c r="P99">
        <f>IF(Source!BI58=2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Q99">
        <f>IF(Source!BI58=3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R99">
        <f>IF(Source!BI58=4,((((Source!CT58/IF(Source!BA58&lt;&gt;0,Source!BA58,1)*Source!I58)+(Source!CR58/IF(Source!BB58&lt;&gt;0,Source!BB58,1)*Source!I58)+(Source!CQ58/IF(Source!BC58&lt;&gt;0,Source!BC58,1)*Source!I58))+((Source!FX58/100)*((Source!CT58/IF(Source!BA58&lt;&gt;0,Source!BA58,1)*Source!I58)+(Source!CS58/IF(Source!BS58&lt;&gt;0,Source!BS58,1)*Source!I58)))+((Source!FY58/100)*((Source!CT58/IF(Source!BA58&lt;&gt;0,Source!BA58,1)*Source!I58)+(Source!CS58/IF(Source!BS58&lt;&gt;0,Source!BS58,1)*Source!I58))))),0)</f>
        <v>0</v>
      </c>
      <c r="S99">
        <f>IF(Source!BI58=1,Source!O58+Source!X58+Source!Y58,0)</f>
        <v>4106.83</v>
      </c>
      <c r="T99">
        <f>IF(Source!BI58=2,Source!O58+Source!X58+Source!Y58,0)</f>
        <v>0</v>
      </c>
      <c r="U99">
        <f>IF(Source!BI58=3,Source!O58+Source!X58+Source!Y58,0)</f>
        <v>0</v>
      </c>
      <c r="V99">
        <f>IF(Source!BI58=4,Source!O58+Source!X58+Source!Y58,0)</f>
        <v>0</v>
      </c>
      <c r="W99">
        <f>ROUND((Source!CS58/IF(Source!BS58&lt;&gt;0,Source!BS58,1)*Source!I58),2)</f>
        <v>29.11</v>
      </c>
    </row>
    <row r="100" spans="1:12" ht="45">
      <c r="A100" s="29" t="str">
        <f>Source!E60</f>
        <v>7</v>
      </c>
      <c r="B100" s="29" t="str">
        <f>Source!F60</f>
        <v>27-04-001-4</v>
      </c>
      <c r="C100" s="30" t="str">
        <f>Source!G60</f>
        <v>Устройство подстилающих и выравнивающих слоев оснований из щебня</v>
      </c>
      <c r="D100" s="31" t="str">
        <f>Source!H60</f>
        <v>100 м3</v>
      </c>
      <c r="E100" s="14">
        <f>ROUND(Source!I60,6)</f>
        <v>0.123</v>
      </c>
      <c r="F100" s="16">
        <f>IF(Source!AK60&lt;&gt;0,Source!AK60,Source!AL60+Source!AM60+Source!AO60)</f>
        <v>3578.4199999999996</v>
      </c>
      <c r="G100" s="14"/>
      <c r="H100" s="14"/>
      <c r="I100" s="32" t="str">
        <f>IF(Source!BO60&lt;&gt;"",Source!BO60,"")</f>
        <v>27-04-001-4</v>
      </c>
      <c r="J100" s="14"/>
      <c r="K100" s="14"/>
      <c r="L100" s="14"/>
    </row>
    <row r="101" spans="1:12" ht="15">
      <c r="A101" s="14"/>
      <c r="B101" s="14"/>
      <c r="C101" s="14" t="s">
        <v>391</v>
      </c>
      <c r="D101" s="14"/>
      <c r="E101" s="14"/>
      <c r="F101" s="16">
        <f>Source!AO60</f>
        <v>195.7</v>
      </c>
      <c r="G101" s="32">
        <f>Source!DG60</f>
      </c>
      <c r="H101" s="16">
        <f>ROUND((Source!CT60/IF(Source!BA60&lt;&gt;0,Source!BA60,1)*Source!I60),2)</f>
        <v>24.07</v>
      </c>
      <c r="I101" s="14"/>
      <c r="J101" s="14">
        <f>Source!BA60</f>
        <v>17.84</v>
      </c>
      <c r="K101" s="16">
        <f>Source!S60</f>
        <v>429.43</v>
      </c>
      <c r="L101" s="14"/>
    </row>
    <row r="102" spans="1:12" ht="15">
      <c r="A102" s="14"/>
      <c r="B102" s="14"/>
      <c r="C102" s="14" t="s">
        <v>58</v>
      </c>
      <c r="D102" s="14"/>
      <c r="E102" s="14"/>
      <c r="F102" s="16">
        <f>Source!AM60</f>
        <v>3365.64</v>
      </c>
      <c r="G102" s="32">
        <f>Source!DE60</f>
      </c>
      <c r="H102" s="16">
        <f>ROUND((Source!CR60/IF(Source!BB60&lt;&gt;0,Source!BB60,1)*Source!I60),2)</f>
        <v>413.97</v>
      </c>
      <c r="I102" s="14"/>
      <c r="J102" s="14">
        <f>Source!BB60</f>
        <v>6</v>
      </c>
      <c r="K102" s="16">
        <f>Source!Q60</f>
        <v>2483.84</v>
      </c>
      <c r="L102" s="14"/>
    </row>
    <row r="103" spans="1:12" ht="15">
      <c r="A103" s="14"/>
      <c r="B103" s="14"/>
      <c r="C103" s="14" t="s">
        <v>396</v>
      </c>
      <c r="D103" s="14"/>
      <c r="E103" s="14"/>
      <c r="F103" s="16">
        <f>Source!AN60</f>
        <v>280.98</v>
      </c>
      <c r="G103" s="32">
        <f>Source!DF60</f>
      </c>
      <c r="H103" s="40">
        <f>ROUND((Source!CS60/IF(Source!BS60&lt;&gt;0,Source!BS60,1)*Source!I60),2)</f>
        <v>34.56</v>
      </c>
      <c r="I103" s="14"/>
      <c r="J103" s="14">
        <f>Source!BS60</f>
        <v>17.84</v>
      </c>
      <c r="K103" s="40">
        <f>Source!R60</f>
        <v>616.56</v>
      </c>
      <c r="L103" s="14"/>
    </row>
    <row r="104" spans="1:12" ht="15">
      <c r="A104" s="14"/>
      <c r="B104" s="14"/>
      <c r="C104" s="14" t="s">
        <v>397</v>
      </c>
      <c r="D104" s="14"/>
      <c r="E104" s="14"/>
      <c r="F104" s="16">
        <f>Source!AL60</f>
        <v>17.08</v>
      </c>
      <c r="G104" s="32">
        <f>Source!DD60</f>
      </c>
      <c r="H104" s="16">
        <f>ROUND((Source!CQ60/IF(Source!BC60&lt;&gt;0,Source!BC60,1)*Source!I60),2)</f>
        <v>2.1</v>
      </c>
      <c r="I104" s="14"/>
      <c r="J104" s="14">
        <f>Source!BC60</f>
        <v>4.95</v>
      </c>
      <c r="K104" s="16">
        <f>Source!P60</f>
        <v>10.4</v>
      </c>
      <c r="L104" s="14"/>
    </row>
    <row r="105" spans="1:24" ht="15">
      <c r="A105" s="14"/>
      <c r="B105" s="14"/>
      <c r="C105" s="14" t="s">
        <v>392</v>
      </c>
      <c r="D105" s="17" t="s">
        <v>393</v>
      </c>
      <c r="E105" s="14"/>
      <c r="F105" s="16">
        <f>Source!BZ60</f>
        <v>142</v>
      </c>
      <c r="G105" s="14"/>
      <c r="H105" s="16">
        <f>X105+X108</f>
        <v>83.25</v>
      </c>
      <c r="I105" s="14" t="str">
        <f>Source!FV60</f>
        <v>((*0.85))</v>
      </c>
      <c r="J105" s="16">
        <f>Source!AT60</f>
        <v>121</v>
      </c>
      <c r="K105" s="16">
        <f>Source!X60+Source!X61</f>
        <v>1265.65</v>
      </c>
      <c r="L105" s="14"/>
      <c r="X105">
        <f>ROUND((Source!FX60/100)*(ROUND((Source!CT60/IF(Source!BA60&lt;&gt;0,Source!BA60,1)*Source!I60),2)+ROUND((Source!CS60/IF(Source!BS60&lt;&gt;0,Source!BS60,1)*Source!I60),2)),2)</f>
        <v>83.25</v>
      </c>
    </row>
    <row r="106" spans="1:25" ht="15">
      <c r="A106" s="14"/>
      <c r="B106" s="14"/>
      <c r="C106" s="14" t="s">
        <v>74</v>
      </c>
      <c r="D106" s="17" t="s">
        <v>393</v>
      </c>
      <c r="E106" s="14"/>
      <c r="F106" s="16">
        <f>Source!CA60</f>
        <v>95</v>
      </c>
      <c r="G106" s="14" t="str">
        <f>Source!FU60</f>
        <v>*0.85</v>
      </c>
      <c r="H106" s="16">
        <f>Y106+Y108</f>
        <v>47.34</v>
      </c>
      <c r="I106" s="14" t="str">
        <f>Source!FW60</f>
        <v>((*0.8))</v>
      </c>
      <c r="J106" s="16">
        <f>Source!AU60</f>
        <v>65</v>
      </c>
      <c r="K106" s="16">
        <f>Source!Y60+Source!Y61</f>
        <v>679.89</v>
      </c>
      <c r="L106" s="14"/>
      <c r="Y106">
        <f>ROUND((Source!FY60/100)*(ROUND((Source!CT60/IF(Source!BA60&lt;&gt;0,Source!BA60,1)*Source!I60),2)+ROUND((Source!CS60/IF(Source!BS60&lt;&gt;0,Source!BS60,1)*Source!I60),2)),2)</f>
        <v>47.34</v>
      </c>
    </row>
    <row r="107" spans="1:12" ht="15">
      <c r="A107" s="14"/>
      <c r="B107" s="14"/>
      <c r="C107" s="14" t="s">
        <v>394</v>
      </c>
      <c r="D107" s="17" t="s">
        <v>395</v>
      </c>
      <c r="E107" s="14">
        <f>Source!AQ60</f>
        <v>24.19</v>
      </c>
      <c r="F107" s="14"/>
      <c r="G107" s="32">
        <f>Source!DI60</f>
      </c>
      <c r="H107" s="14"/>
      <c r="I107" s="14"/>
      <c r="J107" s="14"/>
      <c r="K107" s="14"/>
      <c r="L107" s="16">
        <f>Source!U60</f>
        <v>2.9753700000000003</v>
      </c>
    </row>
    <row r="108" spans="1:25" ht="45">
      <c r="A108" s="42" t="str">
        <f>Source!E61</f>
        <v>7,1</v>
      </c>
      <c r="B108" s="42" t="str">
        <f>Source!F61</f>
        <v>408-0393</v>
      </c>
      <c r="C108" s="43" t="str">
        <f>Source!G61</f>
        <v>Щебень известняковый для строительных работ марки 600 фракции 40-70 мм</v>
      </c>
      <c r="D108" s="44" t="str">
        <f>Source!H61</f>
        <v>м3</v>
      </c>
      <c r="E108" s="34">
        <f>ROUND(Source!I61,6)</f>
        <v>15.375</v>
      </c>
      <c r="F108" s="37">
        <f>IF(Source!AL61=0,Source!AK61,Source!AL61)</f>
        <v>98.6</v>
      </c>
      <c r="G108" s="36">
        <f>Source!DD61</f>
      </c>
      <c r="H108" s="45">
        <f>ROUND((Source!CR61/IF(Source!BB61&lt;&gt;0,Source!BB61,1)*Source!I61),2)+ROUND((Source!CQ61/IF(Source!BC61&lt;&gt;0,Source!BC61,1)*Source!I61),2)+ROUND((Source!CT61/IF(Source!BA61&lt;&gt;0,Source!BA61,1)*Source!I61),2)</f>
        <v>1515.98</v>
      </c>
      <c r="I108" s="36" t="str">
        <f>IF(Source!BO61&lt;&gt;"",Source!BO61,"")</f>
        <v>408-0393</v>
      </c>
      <c r="J108" s="34">
        <f>Source!BC61</f>
        <v>10.79</v>
      </c>
      <c r="K108" s="37">
        <f>Source!O61</f>
        <v>16357.37</v>
      </c>
      <c r="L108" s="34"/>
      <c r="N108">
        <f>ROUND((Source!CT61/IF(Source!BA61&lt;&gt;0,Source!BA61,1)*Source!I61),2)</f>
        <v>0</v>
      </c>
      <c r="O108">
        <f>IF(Source!BI61=1,(ROUND((Source!CR61/IF(Source!BB61&lt;&gt;0,Source!BB61,1)*Source!I61),2)+ROUND((Source!CQ61/IF(Source!BC61&lt;&gt;0,Source!BC61,1)*Source!I61),2)+ROUND((Source!CT61/IF(Source!BA61&lt;&gt;0,Source!BA61,1)*Source!I61),2)),0)</f>
        <v>1515.98</v>
      </c>
      <c r="P108">
        <f>IF(Source!BI61=2,(ROUND((Source!CR61/IF(Source!BB61&lt;&gt;0,Source!BB61,1)*Source!I61),2)+ROUND((Source!CQ61/IF(Source!BC61&lt;&gt;0,Source!BC61,1)*Source!I61),2)+ROUND((Source!CT61/IF(Source!BA61&lt;&gt;0,Source!BA61,1)*Source!I61),2)),0)</f>
        <v>0</v>
      </c>
      <c r="Q108">
        <f>IF(Source!BI61=3,(ROUND((Source!CR61/IF(Source!BB61&lt;&gt;0,Source!BB61,1)*Source!I61),2)+ROUND((Source!CQ61/IF(Source!BC61&lt;&gt;0,Source!BC61,1)*Source!I61),2)+ROUND((Source!CT61/IF(Source!BA61&lt;&gt;0,Source!BA61,1)*Source!I61),2)),0)</f>
        <v>0</v>
      </c>
      <c r="R108">
        <f>IF(Source!BI61=4,(ROUND((Source!CR61/IF(Source!BB61&lt;&gt;0,Source!BB61,1)*Source!I61),2)+ROUND((Source!CQ61/IF(Source!BC61&lt;&gt;0,Source!BC61,1)*Source!I61),2)+ROUND((Source!CT61/IF(Source!BA61&lt;&gt;0,Source!BA61,1)*Source!I61),2)),0)</f>
        <v>0</v>
      </c>
      <c r="S108">
        <f>IF(Source!BI61=1,Source!O61+Source!X61+Source!Y61,0)</f>
        <v>16357.37</v>
      </c>
      <c r="T108">
        <f>IF(Source!BI61=2,Source!O61+Source!X61+Source!Y61,0)</f>
        <v>0</v>
      </c>
      <c r="U108">
        <f>IF(Source!BI61=3,Source!O61+Source!X61+Source!Y61,0)</f>
        <v>0</v>
      </c>
      <c r="V108">
        <f>IF(Source!BI61=4,Source!O61+Source!X61+Source!Y61,0)</f>
        <v>0</v>
      </c>
      <c r="W108">
        <f>ROUND((Source!CS61/IF(Source!BS61&lt;&gt;0,Source!BS61,1)*Source!I61),2)</f>
        <v>0</v>
      </c>
      <c r="X108">
        <f>ROUND((Source!FX61/100)*(ROUND((Source!CT61/IF(Source!BA61&lt;&gt;0,Source!BA61,1)*Source!I61),2)+ROUND((Source!CS61/IF(Source!BS61&lt;&gt;0,Source!BS61,1)*Source!I61),2)),2)</f>
        <v>0</v>
      </c>
      <c r="Y108">
        <f>ROUND((Source!FY61/100)*(ROUND((Source!CT61/IF(Source!BA61&lt;&gt;0,Source!BA61,1)*Source!I61),2)+ROUND((Source!CS61/IF(Source!BS61&lt;&gt;0,Source!BS61,1)*Source!I61),2)),2)</f>
        <v>0</v>
      </c>
    </row>
    <row r="109" spans="1:23" ht="15.75">
      <c r="A109" s="14"/>
      <c r="B109" s="14"/>
      <c r="C109" s="14"/>
      <c r="D109" s="14"/>
      <c r="E109" s="14"/>
      <c r="F109" s="14"/>
      <c r="G109" s="14"/>
      <c r="H109" s="38">
        <f>ROUND((Source!CT60/IF(Source!BA60&lt;&gt;0,Source!BA60,1)*Source!I60),2)+ROUND((Source!CR60/IF(Source!BB60&lt;&gt;0,Source!BB60,1)*Source!I60),2)+H104+H105+H106+H108</f>
        <v>2086.71</v>
      </c>
      <c r="I109" s="39"/>
      <c r="J109" s="39"/>
      <c r="K109" s="38">
        <f>Source!S60+Source!Q60+K104+K105+K106+K108</f>
        <v>21226.58</v>
      </c>
      <c r="L109" s="38">
        <f>Source!U60</f>
        <v>2.9753700000000003</v>
      </c>
      <c r="M109" s="33">
        <f>H109</f>
        <v>2086.71</v>
      </c>
      <c r="N109">
        <f>ROUND((Source!CT60/IF(Source!BA60&lt;&gt;0,Source!BA60,1)*Source!I60),2)</f>
        <v>24.07</v>
      </c>
      <c r="O109">
        <f>IF(Source!BI60=1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570.7476381</v>
      </c>
      <c r="P109">
        <f>IF(Source!BI60=2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Q109">
        <f>IF(Source!BI60=3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R109">
        <f>IF(Source!BI60=4,((((Source!CT60/IF(Source!BA60&lt;&gt;0,Source!BA60,1)*Source!I60)+(Source!CR60/IF(Source!BB60&lt;&gt;0,Source!BB60,1)*Source!I60)+(Source!CQ60/IF(Source!BC60&lt;&gt;0,Source!BC60,1)*Source!I60))+((Source!FX60/100)*((Source!CT60/IF(Source!BA60&lt;&gt;0,Source!BA60,1)*Source!I60)+(Source!CS60/IF(Source!BS60&lt;&gt;0,Source!BS60,1)*Source!I60)))+((Source!FY60/100)*((Source!CT60/IF(Source!BA60&lt;&gt;0,Source!BA60,1)*Source!I60)+(Source!CS60/IF(Source!BS60&lt;&gt;0,Source!BS60,1)*Source!I60))))),0)</f>
        <v>0</v>
      </c>
      <c r="S109">
        <f>IF(Source!BI60=1,Source!O60+Source!X60+Source!Y60,0)</f>
        <v>4869.21</v>
      </c>
      <c r="T109">
        <f>IF(Source!BI60=2,Source!O60+Source!X60+Source!Y60,0)</f>
        <v>0</v>
      </c>
      <c r="U109">
        <f>IF(Source!BI60=3,Source!O60+Source!X60+Source!Y60,0)</f>
        <v>0</v>
      </c>
      <c r="V109">
        <f>IF(Source!BI60=4,Source!O60+Source!X60+Source!Y60,0)</f>
        <v>0</v>
      </c>
      <c r="W109">
        <f>ROUND((Source!CS60/IF(Source!BS60&lt;&gt;0,Source!BS60,1)*Source!I60),2)</f>
        <v>34.56</v>
      </c>
    </row>
    <row r="111" spans="3:23" s="39" customFormat="1" ht="15.75">
      <c r="C111" s="39" t="s">
        <v>176</v>
      </c>
      <c r="G111" s="107">
        <f>SUM(M78:M110)</f>
        <v>4210.26</v>
      </c>
      <c r="H111" s="107"/>
      <c r="J111" s="107">
        <f>ROUND(Source!AB54+Source!AK54+Source!AL54+Source!AE54*0/100,2)</f>
        <v>38436.19</v>
      </c>
      <c r="K111" s="107"/>
      <c r="L111" s="38">
        <f>Source!AH54</f>
        <v>5.86</v>
      </c>
      <c r="N111" s="38">
        <f aca="true" t="shared" si="1" ref="N111:W111">SUM(N78:N110)</f>
        <v>47.16</v>
      </c>
      <c r="O111" s="38">
        <f t="shared" si="1"/>
        <v>3683.5955866</v>
      </c>
      <c r="P111" s="38">
        <f t="shared" si="1"/>
        <v>0</v>
      </c>
      <c r="Q111" s="38">
        <f t="shared" si="1"/>
        <v>0</v>
      </c>
      <c r="R111" s="38">
        <f t="shared" si="1"/>
        <v>526.6800000000001</v>
      </c>
      <c r="S111" s="38">
        <f t="shared" si="1"/>
        <v>35634.25</v>
      </c>
      <c r="T111" s="38">
        <f t="shared" si="1"/>
        <v>0</v>
      </c>
      <c r="U111" s="38">
        <f t="shared" si="1"/>
        <v>0</v>
      </c>
      <c r="V111" s="38">
        <f t="shared" si="1"/>
        <v>2801.94</v>
      </c>
      <c r="W111" s="39">
        <f t="shared" si="1"/>
        <v>75.93</v>
      </c>
    </row>
    <row r="113" spans="3:30" ht="18">
      <c r="C113" s="26" t="s">
        <v>390</v>
      </c>
      <c r="D113" s="106" t="str">
        <f>IF(Source!C12="1",Source!F79,Source!G79)</f>
        <v>Ремонт парковочного кармана</v>
      </c>
      <c r="E113" s="108"/>
      <c r="F113" s="108"/>
      <c r="G113" s="108"/>
      <c r="H113" s="108"/>
      <c r="I113" s="108"/>
      <c r="J113" s="108"/>
      <c r="K113" s="108"/>
      <c r="L113" s="108"/>
      <c r="AD113" s="28" t="str">
        <f>IF(Source!C12="1",Source!F79,Source!G79)</f>
        <v>Ремонт парковочного кармана</v>
      </c>
    </row>
    <row r="115" spans="1:12" ht="45">
      <c r="A115" s="29" t="str">
        <f>Source!E83</f>
        <v>8</v>
      </c>
      <c r="B115" s="29" t="str">
        <f>Source!F83</f>
        <v>27-04-001-4</v>
      </c>
      <c r="C115" s="30" t="str">
        <f>Source!G83</f>
        <v>Устройство подстилающих и выравнивающих слоев оснований из щебня</v>
      </c>
      <c r="D115" s="31" t="str">
        <f>Source!H83</f>
        <v>100 м3</v>
      </c>
      <c r="E115" s="14">
        <f>ROUND(Source!I83,6)</f>
        <v>0.165</v>
      </c>
      <c r="F115" s="16">
        <f>IF(Source!AK83&lt;&gt;0,Source!AK83,Source!AL83+Source!AM83+Source!AO83)</f>
        <v>3578.4199999999996</v>
      </c>
      <c r="G115" s="14"/>
      <c r="H115" s="14"/>
      <c r="I115" s="32" t="str">
        <f>IF(Source!BO83&lt;&gt;"",Source!BO83,"")</f>
        <v>27-04-001-4</v>
      </c>
      <c r="J115" s="14"/>
      <c r="K115" s="14"/>
      <c r="L115" s="14"/>
    </row>
    <row r="116" spans="1:12" ht="15">
      <c r="A116" s="14"/>
      <c r="B116" s="14"/>
      <c r="C116" s="14" t="s">
        <v>391</v>
      </c>
      <c r="D116" s="14"/>
      <c r="E116" s="14"/>
      <c r="F116" s="16">
        <f>Source!AO83</f>
        <v>195.7</v>
      </c>
      <c r="G116" s="32">
        <f>Source!DG83</f>
      </c>
      <c r="H116" s="16">
        <f>ROUND((Source!CT83/IF(Source!BA83&lt;&gt;0,Source!BA83,1)*Source!I83),2)</f>
        <v>32.29</v>
      </c>
      <c r="I116" s="14"/>
      <c r="J116" s="14">
        <f>Source!BA83</f>
        <v>17.84</v>
      </c>
      <c r="K116" s="16">
        <f>Source!S83</f>
        <v>576.06</v>
      </c>
      <c r="L116" s="14"/>
    </row>
    <row r="117" spans="1:12" ht="15">
      <c r="A117" s="14"/>
      <c r="B117" s="14"/>
      <c r="C117" s="14" t="s">
        <v>58</v>
      </c>
      <c r="D117" s="14"/>
      <c r="E117" s="14"/>
      <c r="F117" s="16">
        <f>Source!AM83</f>
        <v>3365.64</v>
      </c>
      <c r="G117" s="32">
        <f>Source!DE83</f>
      </c>
      <c r="H117" s="16">
        <f>ROUND((Source!CR83/IF(Source!BB83&lt;&gt;0,Source!BB83,1)*Source!I83),2)</f>
        <v>555.33</v>
      </c>
      <c r="I117" s="14"/>
      <c r="J117" s="14">
        <f>Source!BB83</f>
        <v>6</v>
      </c>
      <c r="K117" s="16">
        <f>Source!Q83</f>
        <v>3331.98</v>
      </c>
      <c r="L117" s="14"/>
    </row>
    <row r="118" spans="1:12" ht="15">
      <c r="A118" s="14"/>
      <c r="B118" s="14"/>
      <c r="C118" s="14" t="s">
        <v>396</v>
      </c>
      <c r="D118" s="14"/>
      <c r="E118" s="14"/>
      <c r="F118" s="16">
        <f>Source!AN83</f>
        <v>280.98</v>
      </c>
      <c r="G118" s="32">
        <f>Source!DF83</f>
      </c>
      <c r="H118" s="40">
        <f>ROUND((Source!CS83/IF(Source!BS83&lt;&gt;0,Source!BS83,1)*Source!I83),2)</f>
        <v>46.36</v>
      </c>
      <c r="I118" s="14"/>
      <c r="J118" s="14">
        <f>Source!BS83</f>
        <v>17.84</v>
      </c>
      <c r="K118" s="40">
        <f>Source!R83</f>
        <v>827.09</v>
      </c>
      <c r="L118" s="14"/>
    </row>
    <row r="119" spans="1:12" ht="15">
      <c r="A119" s="14"/>
      <c r="B119" s="14"/>
      <c r="C119" s="14" t="s">
        <v>397</v>
      </c>
      <c r="D119" s="14"/>
      <c r="E119" s="14"/>
      <c r="F119" s="16">
        <f>Source!AL83</f>
        <v>17.08</v>
      </c>
      <c r="G119" s="32">
        <f>Source!DD83</f>
      </c>
      <c r="H119" s="16">
        <f>ROUND((Source!CQ83/IF(Source!BC83&lt;&gt;0,Source!BC83,1)*Source!I83),2)</f>
        <v>2.82</v>
      </c>
      <c r="I119" s="14"/>
      <c r="J119" s="14">
        <f>Source!BC83</f>
        <v>4.95</v>
      </c>
      <c r="K119" s="16">
        <f>Source!P83</f>
        <v>13.95</v>
      </c>
      <c r="L119" s="14"/>
    </row>
    <row r="120" spans="1:24" ht="15">
      <c r="A120" s="14"/>
      <c r="B120" s="14"/>
      <c r="C120" s="14" t="s">
        <v>392</v>
      </c>
      <c r="D120" s="17" t="s">
        <v>393</v>
      </c>
      <c r="E120" s="14"/>
      <c r="F120" s="16">
        <f>Source!BZ83</f>
        <v>142</v>
      </c>
      <c r="G120" s="14"/>
      <c r="H120" s="16">
        <f>X120+X123</f>
        <v>111.68</v>
      </c>
      <c r="I120" s="14" t="str">
        <f>Source!FV83</f>
        <v>((*0.85))</v>
      </c>
      <c r="J120" s="16">
        <f>Source!AT83</f>
        <v>121</v>
      </c>
      <c r="K120" s="16">
        <f>Source!X83+Source!X84</f>
        <v>1697.81</v>
      </c>
      <c r="L120" s="14"/>
      <c r="X120">
        <f>ROUND((Source!FX83/100)*(ROUND((Source!CT83/IF(Source!BA83&lt;&gt;0,Source!BA83,1)*Source!I83),2)+ROUND((Source!CS83/IF(Source!BS83&lt;&gt;0,Source!BS83,1)*Source!I83),2)),2)</f>
        <v>111.68</v>
      </c>
    </row>
    <row r="121" spans="1:25" ht="15">
      <c r="A121" s="14"/>
      <c r="B121" s="14"/>
      <c r="C121" s="14" t="s">
        <v>74</v>
      </c>
      <c r="D121" s="17" t="s">
        <v>393</v>
      </c>
      <c r="E121" s="14"/>
      <c r="F121" s="16">
        <f>Source!CA83</f>
        <v>95</v>
      </c>
      <c r="G121" s="14" t="str">
        <f>Source!FU83</f>
        <v>*0.85</v>
      </c>
      <c r="H121" s="16">
        <f>Y121+Y123</f>
        <v>63.51</v>
      </c>
      <c r="I121" s="14" t="str">
        <f>Source!FW83</f>
        <v>((*0.8))</v>
      </c>
      <c r="J121" s="16">
        <f>Source!AU83</f>
        <v>65</v>
      </c>
      <c r="K121" s="16">
        <f>Source!Y83+Source!Y84</f>
        <v>912.05</v>
      </c>
      <c r="L121" s="14"/>
      <c r="Y121">
        <f>ROUND((Source!FY83/100)*(ROUND((Source!CT83/IF(Source!BA83&lt;&gt;0,Source!BA83,1)*Source!I83),2)+ROUND((Source!CS83/IF(Source!BS83&lt;&gt;0,Source!BS83,1)*Source!I83),2)),2)</f>
        <v>63.51</v>
      </c>
    </row>
    <row r="122" spans="1:12" ht="15">
      <c r="A122" s="14"/>
      <c r="B122" s="14"/>
      <c r="C122" s="14" t="s">
        <v>394</v>
      </c>
      <c r="D122" s="17" t="s">
        <v>395</v>
      </c>
      <c r="E122" s="14">
        <f>Source!AQ83</f>
        <v>24.19</v>
      </c>
      <c r="F122" s="14"/>
      <c r="G122" s="32">
        <f>Source!DI83</f>
      </c>
      <c r="H122" s="14"/>
      <c r="I122" s="14"/>
      <c r="J122" s="14"/>
      <c r="K122" s="14"/>
      <c r="L122" s="16">
        <f>Source!U83</f>
        <v>3.9913500000000006</v>
      </c>
    </row>
    <row r="123" spans="1:25" ht="45">
      <c r="A123" s="42" t="str">
        <f>Source!E84</f>
        <v>8,1</v>
      </c>
      <c r="B123" s="42" t="str">
        <f>Source!F84</f>
        <v>408-0393</v>
      </c>
      <c r="C123" s="43" t="str">
        <f>Source!G84</f>
        <v>Щебень известняковый для строительных работ марки 600 фракции 40-70 мм</v>
      </c>
      <c r="D123" s="44" t="str">
        <f>Source!H84</f>
        <v>м3</v>
      </c>
      <c r="E123" s="34">
        <f>ROUND(Source!I84,6)</f>
        <v>20.625</v>
      </c>
      <c r="F123" s="37">
        <f>IF(Source!AL84=0,Source!AK84,Source!AL84)</f>
        <v>98.6</v>
      </c>
      <c r="G123" s="36">
        <f>Source!DD84</f>
      </c>
      <c r="H123" s="45">
        <f>ROUND((Source!CR84/IF(Source!BB84&lt;&gt;0,Source!BB84,1)*Source!I84),2)+ROUND((Source!CQ84/IF(Source!BC84&lt;&gt;0,Source!BC84,1)*Source!I84),2)+ROUND((Source!CT84/IF(Source!BA84&lt;&gt;0,Source!BA84,1)*Source!I84),2)</f>
        <v>2033.63</v>
      </c>
      <c r="I123" s="36" t="str">
        <f>IF(Source!BO84&lt;&gt;"",Source!BO84,"")</f>
        <v>408-0393</v>
      </c>
      <c r="J123" s="34">
        <f>Source!BC84</f>
        <v>10.79</v>
      </c>
      <c r="K123" s="37">
        <f>Source!O84</f>
        <v>21942.81</v>
      </c>
      <c r="L123" s="34"/>
      <c r="N123">
        <f>ROUND((Source!CT84/IF(Source!BA84&lt;&gt;0,Source!BA84,1)*Source!I84),2)</f>
        <v>0</v>
      </c>
      <c r="O123">
        <f>IF(Source!BI84=1,(ROUND((Source!CR84/IF(Source!BB84&lt;&gt;0,Source!BB84,1)*Source!I84),2)+ROUND((Source!CQ84/IF(Source!BC84&lt;&gt;0,Source!BC84,1)*Source!I84),2)+ROUND((Source!CT84/IF(Source!BA84&lt;&gt;0,Source!BA84,1)*Source!I84),2)),0)</f>
        <v>2033.63</v>
      </c>
      <c r="P123">
        <f>IF(Source!BI84=2,(ROUND((Source!CR84/IF(Source!BB84&lt;&gt;0,Source!BB84,1)*Source!I84),2)+ROUND((Source!CQ84/IF(Source!BC84&lt;&gt;0,Source!BC84,1)*Source!I84),2)+ROUND((Source!CT84/IF(Source!BA84&lt;&gt;0,Source!BA84,1)*Source!I84),2)),0)</f>
        <v>0</v>
      </c>
      <c r="Q123">
        <f>IF(Source!BI84=3,(ROUND((Source!CR84/IF(Source!BB84&lt;&gt;0,Source!BB84,1)*Source!I84),2)+ROUND((Source!CQ84/IF(Source!BC84&lt;&gt;0,Source!BC84,1)*Source!I84),2)+ROUND((Source!CT84/IF(Source!BA84&lt;&gt;0,Source!BA84,1)*Source!I84),2)),0)</f>
        <v>0</v>
      </c>
      <c r="R123">
        <f>IF(Source!BI84=4,(ROUND((Source!CR84/IF(Source!BB84&lt;&gt;0,Source!BB84,1)*Source!I84),2)+ROUND((Source!CQ84/IF(Source!BC84&lt;&gt;0,Source!BC84,1)*Source!I84),2)+ROUND((Source!CT84/IF(Source!BA84&lt;&gt;0,Source!BA84,1)*Source!I84),2)),0)</f>
        <v>0</v>
      </c>
      <c r="S123">
        <f>IF(Source!BI84=1,Source!O84+Source!X84+Source!Y84,0)</f>
        <v>21942.81</v>
      </c>
      <c r="T123">
        <f>IF(Source!BI84=2,Source!O84+Source!X84+Source!Y84,0)</f>
        <v>0</v>
      </c>
      <c r="U123">
        <f>IF(Source!BI84=3,Source!O84+Source!X84+Source!Y84,0)</f>
        <v>0</v>
      </c>
      <c r="V123">
        <f>IF(Source!BI84=4,Source!O84+Source!X84+Source!Y84,0)</f>
        <v>0</v>
      </c>
      <c r="W123">
        <f>ROUND((Source!CS84/IF(Source!BS84&lt;&gt;0,Source!BS84,1)*Source!I84),2)</f>
        <v>0</v>
      </c>
      <c r="X123">
        <f>ROUND((Source!FX84/100)*(ROUND((Source!CT84/IF(Source!BA84&lt;&gt;0,Source!BA84,1)*Source!I84),2)+ROUND((Source!CS84/IF(Source!BS84&lt;&gt;0,Source!BS84,1)*Source!I84),2)),2)</f>
        <v>0</v>
      </c>
      <c r="Y123">
        <f>ROUND((Source!FY84/100)*(ROUND((Source!CT84/IF(Source!BA84&lt;&gt;0,Source!BA84,1)*Source!I84),2)+ROUND((Source!CS84/IF(Source!BS84&lt;&gt;0,Source!BS84,1)*Source!I84),2)),2)</f>
        <v>0</v>
      </c>
    </row>
    <row r="124" spans="1:23" ht="15.75">
      <c r="A124" s="14"/>
      <c r="B124" s="14"/>
      <c r="C124" s="14"/>
      <c r="D124" s="14"/>
      <c r="E124" s="14"/>
      <c r="F124" s="14"/>
      <c r="G124" s="14"/>
      <c r="H124" s="38">
        <f>ROUND((Source!CT83/IF(Source!BA83&lt;&gt;0,Source!BA83,1)*Source!I83),2)+ROUND((Source!CR83/IF(Source!BB83&lt;&gt;0,Source!BB83,1)*Source!I83),2)+H119+H120+H121+H123</f>
        <v>2799.26</v>
      </c>
      <c r="I124" s="39"/>
      <c r="J124" s="39"/>
      <c r="K124" s="38">
        <f>Source!S83+Source!Q83+K119+K120+K121+K123</f>
        <v>28474.66</v>
      </c>
      <c r="L124" s="38">
        <f>Source!U83</f>
        <v>3.9913500000000006</v>
      </c>
      <c r="M124" s="33">
        <f>H124</f>
        <v>2799.26</v>
      </c>
      <c r="N124">
        <f>ROUND((Source!CT83/IF(Source!BA83&lt;&gt;0,Source!BA83,1)*Source!I83),2)</f>
        <v>32.29</v>
      </c>
      <c r="O124">
        <f>IF(Source!BI83=1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765.6370755</v>
      </c>
      <c r="P124">
        <f>IF(Source!BI83=2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Q124">
        <f>IF(Source!BI83=3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R124">
        <f>IF(Source!BI83=4,((((Source!CT83/IF(Source!BA83&lt;&gt;0,Source!BA83,1)*Source!I83)+(Source!CR83/IF(Source!BB83&lt;&gt;0,Source!BB83,1)*Source!I83)+(Source!CQ83/IF(Source!BC83&lt;&gt;0,Source!BC83,1)*Source!I83))+((Source!FX83/100)*((Source!CT83/IF(Source!BA83&lt;&gt;0,Source!BA83,1)*Source!I83)+(Source!CS83/IF(Source!BS83&lt;&gt;0,Source!BS83,1)*Source!I83)))+((Source!FY83/100)*((Source!CT83/IF(Source!BA83&lt;&gt;0,Source!BA83,1)*Source!I83)+(Source!CS83/IF(Source!BS83&lt;&gt;0,Source!BS83,1)*Source!I83))))),0)</f>
        <v>0</v>
      </c>
      <c r="S124">
        <f>IF(Source!BI83=1,Source!O83+Source!X83+Source!Y83,0)</f>
        <v>6531.849999999999</v>
      </c>
      <c r="T124">
        <f>IF(Source!BI83=2,Source!O83+Source!X83+Source!Y83,0)</f>
        <v>0</v>
      </c>
      <c r="U124">
        <f>IF(Source!BI83=3,Source!O83+Source!X83+Source!Y83,0)</f>
        <v>0</v>
      </c>
      <c r="V124">
        <f>IF(Source!BI83=4,Source!O83+Source!X83+Source!Y83,0)</f>
        <v>0</v>
      </c>
      <c r="W124">
        <f>ROUND((Source!CS83/IF(Source!BS83&lt;&gt;0,Source!BS83,1)*Source!I83),2)</f>
        <v>46.36</v>
      </c>
    </row>
    <row r="125" spans="1:12" ht="90">
      <c r="A125" s="29" t="str">
        <f>Source!E85</f>
        <v>9</v>
      </c>
      <c r="B125" s="29" t="str">
        <f>Source!F85</f>
        <v>27-06-020-1</v>
      </c>
      <c r="C125" s="30" t="str">
        <f>Source!G85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25" s="31" t="str">
        <f>Source!H85</f>
        <v>1000 м2</v>
      </c>
      <c r="E125" s="14">
        <f>ROUND(Source!I85,6)</f>
        <v>0.11</v>
      </c>
      <c r="F125" s="16">
        <f>IF(Source!AK85&lt;&gt;0,Source!AK85,Source!AL85+Source!AM85+Source!AO85)</f>
        <v>54732.409999999996</v>
      </c>
      <c r="G125" s="14"/>
      <c r="H125" s="14"/>
      <c r="I125" s="32" t="str">
        <f>IF(Source!BO85&lt;&gt;"",Source!BO85,"")</f>
        <v>27-06-020-1</v>
      </c>
      <c r="J125" s="14"/>
      <c r="K125" s="14"/>
      <c r="L125" s="14"/>
    </row>
    <row r="126" spans="1:12" ht="15">
      <c r="A126" s="14"/>
      <c r="B126" s="14"/>
      <c r="C126" s="14" t="s">
        <v>391</v>
      </c>
      <c r="D126" s="14"/>
      <c r="E126" s="14"/>
      <c r="F126" s="16">
        <f>Source!AO85</f>
        <v>368.45</v>
      </c>
      <c r="G126" s="32">
        <f>Source!DG85</f>
      </c>
      <c r="H126" s="16">
        <f>ROUND((Source!CT85/IF(Source!BA85&lt;&gt;0,Source!BA85,1)*Source!I85),2)</f>
        <v>40.53</v>
      </c>
      <c r="I126" s="14"/>
      <c r="J126" s="14">
        <f>Source!BA85</f>
        <v>17.84</v>
      </c>
      <c r="K126" s="16">
        <f>Source!S85</f>
        <v>723.05</v>
      </c>
      <c r="L126" s="14"/>
    </row>
    <row r="127" spans="1:12" ht="15">
      <c r="A127" s="14"/>
      <c r="B127" s="14"/>
      <c r="C127" s="14" t="s">
        <v>58</v>
      </c>
      <c r="D127" s="14"/>
      <c r="E127" s="14"/>
      <c r="F127" s="16">
        <f>Source!AM85</f>
        <v>2386.22</v>
      </c>
      <c r="G127" s="32">
        <f>Source!DE85</f>
      </c>
      <c r="H127" s="16">
        <f>ROUND((Source!CR85/IF(Source!BB85&lt;&gt;0,Source!BB85,1)*Source!I85),2)</f>
        <v>262.48</v>
      </c>
      <c r="I127" s="14"/>
      <c r="J127" s="14">
        <f>Source!BB85</f>
        <v>4.93</v>
      </c>
      <c r="K127" s="16">
        <f>Source!Q85</f>
        <v>1294.05</v>
      </c>
      <c r="L127" s="14"/>
    </row>
    <row r="128" spans="1:12" ht="15">
      <c r="A128" s="14"/>
      <c r="B128" s="14"/>
      <c r="C128" s="14" t="s">
        <v>396</v>
      </c>
      <c r="D128" s="14"/>
      <c r="E128" s="14"/>
      <c r="F128" s="16">
        <f>Source!AN85</f>
        <v>262.54</v>
      </c>
      <c r="G128" s="32">
        <f>Source!DF85</f>
      </c>
      <c r="H128" s="40">
        <f>ROUND((Source!CS85/IF(Source!BS85&lt;&gt;0,Source!BS85,1)*Source!I85),2)</f>
        <v>28.88</v>
      </c>
      <c r="I128" s="14"/>
      <c r="J128" s="14">
        <f>Source!BS85</f>
        <v>17.84</v>
      </c>
      <c r="K128" s="40">
        <f>Source!R85</f>
        <v>515.21</v>
      </c>
      <c r="L128" s="14"/>
    </row>
    <row r="129" spans="1:12" ht="15">
      <c r="A129" s="14"/>
      <c r="B129" s="14"/>
      <c r="C129" s="14" t="s">
        <v>397</v>
      </c>
      <c r="D129" s="14"/>
      <c r="E129" s="14"/>
      <c r="F129" s="16">
        <f>Source!AL85</f>
        <v>51977.74</v>
      </c>
      <c r="G129" s="32">
        <f>Source!DD85</f>
      </c>
      <c r="H129" s="16">
        <f>ROUND((Source!CQ85/IF(Source!BC85&lt;&gt;0,Source!BC85,1)*Source!I85),2)</f>
        <v>5717.55</v>
      </c>
      <c r="I129" s="14"/>
      <c r="J129" s="14">
        <f>Source!BC85</f>
        <v>4.74</v>
      </c>
      <c r="K129" s="16">
        <f>Source!P85</f>
        <v>27101.19</v>
      </c>
      <c r="L129" s="14"/>
    </row>
    <row r="130" spans="1:24" ht="15">
      <c r="A130" s="14"/>
      <c r="B130" s="14"/>
      <c r="C130" s="14" t="s">
        <v>392</v>
      </c>
      <c r="D130" s="17" t="s">
        <v>393</v>
      </c>
      <c r="E130" s="14"/>
      <c r="F130" s="16">
        <f>Source!BZ85</f>
        <v>142</v>
      </c>
      <c r="G130" s="14"/>
      <c r="H130" s="16">
        <f>X130</f>
        <v>98.56</v>
      </c>
      <c r="I130" s="14" t="str">
        <f>Source!FV85</f>
        <v>((*0.85))</v>
      </c>
      <c r="J130" s="16">
        <f>Source!AT85</f>
        <v>121</v>
      </c>
      <c r="K130" s="16">
        <f>Source!X85</f>
        <v>1498.29</v>
      </c>
      <c r="L130" s="14"/>
      <c r="X130">
        <f>ROUND((Source!FX85/100)*(ROUND((Source!CT85/IF(Source!BA85&lt;&gt;0,Source!BA85,1)*Source!I85),2)+ROUND((Source!CS85/IF(Source!BS85&lt;&gt;0,Source!BS85,1)*Source!I85),2)),2)</f>
        <v>98.56</v>
      </c>
    </row>
    <row r="131" spans="1:25" ht="15">
      <c r="A131" s="14"/>
      <c r="B131" s="14"/>
      <c r="C131" s="14" t="s">
        <v>74</v>
      </c>
      <c r="D131" s="17" t="s">
        <v>393</v>
      </c>
      <c r="E131" s="14"/>
      <c r="F131" s="16">
        <f>Source!CA85</f>
        <v>95</v>
      </c>
      <c r="G131" s="14" t="str">
        <f>Source!FU85</f>
        <v>*0.85</v>
      </c>
      <c r="H131" s="16">
        <f>Y131</f>
        <v>56.05</v>
      </c>
      <c r="I131" s="14" t="str">
        <f>Source!FW85</f>
        <v>((*0.8))</v>
      </c>
      <c r="J131" s="16">
        <f>Source!AU85</f>
        <v>65</v>
      </c>
      <c r="K131" s="16">
        <f>Source!Y85</f>
        <v>804.87</v>
      </c>
      <c r="L131" s="14"/>
      <c r="Y131">
        <f>ROUND((Source!FY85/100)*(ROUND((Source!CT85/IF(Source!BA85&lt;&gt;0,Source!BA85,1)*Source!I85),2)+ROUND((Source!CS85/IF(Source!BS85&lt;&gt;0,Source!BS85,1)*Source!I85),2)),2)</f>
        <v>56.05</v>
      </c>
    </row>
    <row r="132" spans="1:12" ht="15">
      <c r="A132" s="34"/>
      <c r="B132" s="34"/>
      <c r="C132" s="34" t="s">
        <v>394</v>
      </c>
      <c r="D132" s="35" t="s">
        <v>395</v>
      </c>
      <c r="E132" s="34">
        <f>Source!AQ85</f>
        <v>38.3</v>
      </c>
      <c r="F132" s="34"/>
      <c r="G132" s="36">
        <f>Source!DI85</f>
      </c>
      <c r="H132" s="34"/>
      <c r="I132" s="34"/>
      <c r="J132" s="34"/>
      <c r="K132" s="34"/>
      <c r="L132" s="37">
        <f>Source!U85</f>
        <v>4.213</v>
      </c>
    </row>
    <row r="133" spans="1:23" ht="15.75">
      <c r="A133" s="14"/>
      <c r="B133" s="14"/>
      <c r="C133" s="14"/>
      <c r="D133" s="14"/>
      <c r="E133" s="14"/>
      <c r="F133" s="14"/>
      <c r="G133" s="14"/>
      <c r="H133" s="38">
        <f>ROUND((Source!CT85/IF(Source!BA85&lt;&gt;0,Source!BA85,1)*Source!I85),2)+ROUND((Source!CR85/IF(Source!BB85&lt;&gt;0,Source!BB85,1)*Source!I85),2)+H129+H130+H131</f>
        <v>6175.170000000001</v>
      </c>
      <c r="I133" s="39"/>
      <c r="J133" s="39"/>
      <c r="K133" s="38">
        <f>Source!S85+Source!Q85+K129+K130+K131</f>
        <v>31421.449999999997</v>
      </c>
      <c r="L133" s="38">
        <f>Source!U85</f>
        <v>4.213</v>
      </c>
      <c r="M133" s="33">
        <f>H133</f>
        <v>6175.170000000001</v>
      </c>
      <c r="N133">
        <f>ROUND((Source!CT85/IF(Source!BA85&lt;&gt;0,Source!BA85,1)*Source!I85),2)</f>
        <v>40.53</v>
      </c>
      <c r="O133">
        <f>IF(Source!BI85=1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6175.17342475</v>
      </c>
      <c r="P133">
        <f>IF(Source!BI85=2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Q133">
        <f>IF(Source!BI85=3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R133">
        <f>IF(Source!BI85=4,((((Source!CT85/IF(Source!BA85&lt;&gt;0,Source!BA85,1)*Source!I85)+(Source!CR85/IF(Source!BB85&lt;&gt;0,Source!BB85,1)*Source!I85)+(Source!CQ85/IF(Source!BC85&lt;&gt;0,Source!BC85,1)*Source!I85))+((Source!FX85/100)*((Source!CT85/IF(Source!BA85&lt;&gt;0,Source!BA85,1)*Source!I85)+(Source!CS85/IF(Source!BS85&lt;&gt;0,Source!BS85,1)*Source!I85)))+((Source!FY85/100)*((Source!CT85/IF(Source!BA85&lt;&gt;0,Source!BA85,1)*Source!I85)+(Source!CS85/IF(Source!BS85&lt;&gt;0,Source!BS85,1)*Source!I85))))),0)</f>
        <v>0</v>
      </c>
      <c r="S133">
        <f>IF(Source!BI85=1,Source!O85+Source!X85+Source!Y85,0)</f>
        <v>31421.45</v>
      </c>
      <c r="T133">
        <f>IF(Source!BI85=2,Source!O85+Source!X85+Source!Y85,0)</f>
        <v>0</v>
      </c>
      <c r="U133">
        <f>IF(Source!BI85=3,Source!O85+Source!X85+Source!Y85,0)</f>
        <v>0</v>
      </c>
      <c r="V133">
        <f>IF(Source!BI85=4,Source!O85+Source!X85+Source!Y85,0)</f>
        <v>0</v>
      </c>
      <c r="W133">
        <f>ROUND((Source!CS85/IF(Source!BS85&lt;&gt;0,Source!BS85,1)*Source!I85),2)</f>
        <v>28.88</v>
      </c>
    </row>
    <row r="134" spans="1:12" ht="60">
      <c r="A134" s="29" t="str">
        <f>Source!E86</f>
        <v>10</v>
      </c>
      <c r="B134" s="29" t="str">
        <f>Source!F86</f>
        <v>27-06-021-1</v>
      </c>
      <c r="C134" s="30" t="str">
        <f>Source!G86</f>
        <v>На каждые 0,5 см изменения толщины покрытия добавлять или исключать к расценке 27-06-020-01</v>
      </c>
      <c r="D134" s="31" t="str">
        <f>Source!H86</f>
        <v>1000 м2</v>
      </c>
      <c r="E134" s="14">
        <f>ROUND(Source!I86,6)</f>
        <v>0.11</v>
      </c>
      <c r="F134" s="16">
        <f>IF(Source!AK86&lt;&gt;0,Source!AK86,Source!AL86+Source!AM86+Source!AO86)</f>
        <v>6485.89</v>
      </c>
      <c r="G134" s="14"/>
      <c r="H134" s="14"/>
      <c r="I134" s="32" t="str">
        <f>IF(Source!BO86&lt;&gt;"",Source!BO86,"")</f>
        <v>27-06-021-1</v>
      </c>
      <c r="J134" s="14"/>
      <c r="K134" s="14"/>
      <c r="L134" s="14"/>
    </row>
    <row r="135" spans="1:12" ht="15">
      <c r="A135" s="14"/>
      <c r="B135" s="14"/>
      <c r="C135" s="14" t="s">
        <v>391</v>
      </c>
      <c r="D135" s="14"/>
      <c r="E135" s="14"/>
      <c r="F135" s="16">
        <f>Source!AO86</f>
        <v>0.87</v>
      </c>
      <c r="G135" s="32" t="str">
        <f>Source!DG86</f>
        <v>)*2</v>
      </c>
      <c r="H135" s="16">
        <f>ROUND((Source!CT86/IF(Source!BA86&lt;&gt;0,Source!BA86,1)*Source!I86),2)</f>
        <v>0.19</v>
      </c>
      <c r="I135" s="14"/>
      <c r="J135" s="14">
        <f>Source!BA86</f>
        <v>17.84</v>
      </c>
      <c r="K135" s="16">
        <f>Source!S86</f>
        <v>3.41</v>
      </c>
      <c r="L135" s="14"/>
    </row>
    <row r="136" spans="1:12" ht="15">
      <c r="A136" s="14"/>
      <c r="B136" s="14"/>
      <c r="C136" s="14" t="s">
        <v>58</v>
      </c>
      <c r="D136" s="14"/>
      <c r="E136" s="14"/>
      <c r="F136" s="16">
        <f>Source!AM86</f>
        <v>3.1</v>
      </c>
      <c r="G136" s="32" t="str">
        <f>Source!DE86</f>
        <v>)*2</v>
      </c>
      <c r="H136" s="16">
        <f>ROUND((Source!CR86/IF(Source!BB86&lt;&gt;0,Source!BB86,1)*Source!I86),2)</f>
        <v>0.68</v>
      </c>
      <c r="I136" s="14"/>
      <c r="J136" s="14">
        <f>Source!BB86</f>
        <v>4.07</v>
      </c>
      <c r="K136" s="16">
        <f>Source!Q86</f>
        <v>2.78</v>
      </c>
      <c r="L136" s="14"/>
    </row>
    <row r="137" spans="1:12" ht="15">
      <c r="A137" s="14"/>
      <c r="B137" s="14"/>
      <c r="C137" s="14" t="s">
        <v>397</v>
      </c>
      <c r="D137" s="14"/>
      <c r="E137" s="14"/>
      <c r="F137" s="16">
        <f>Source!AL86</f>
        <v>6481.92</v>
      </c>
      <c r="G137" s="32" t="str">
        <f>Source!DD86</f>
        <v>)*2</v>
      </c>
      <c r="H137" s="16">
        <f>ROUND((Source!CQ86/IF(Source!BC86&lt;&gt;0,Source!BC86,1)*Source!I86),2)</f>
        <v>1426.02</v>
      </c>
      <c r="I137" s="14"/>
      <c r="J137" s="14">
        <f>Source!BC86</f>
        <v>4.74</v>
      </c>
      <c r="K137" s="16">
        <f>Source!P86</f>
        <v>6759.35</v>
      </c>
      <c r="L137" s="14"/>
    </row>
    <row r="138" spans="1:24" ht="15">
      <c r="A138" s="14"/>
      <c r="B138" s="14"/>
      <c r="C138" s="14" t="s">
        <v>392</v>
      </c>
      <c r="D138" s="17" t="s">
        <v>393</v>
      </c>
      <c r="E138" s="14"/>
      <c r="F138" s="16">
        <f>Source!BZ86</f>
        <v>142</v>
      </c>
      <c r="G138" s="14"/>
      <c r="H138" s="16">
        <f>X138</f>
        <v>0.27</v>
      </c>
      <c r="I138" s="14" t="str">
        <f>Source!FV86</f>
        <v>((*0.85))</v>
      </c>
      <c r="J138" s="16">
        <f>Source!AT86</f>
        <v>121</v>
      </c>
      <c r="K138" s="16">
        <f>Source!X86</f>
        <v>4.13</v>
      </c>
      <c r="L138" s="14"/>
      <c r="X138">
        <f>ROUND((Source!FX86/100)*(ROUND((Source!CT86/IF(Source!BA86&lt;&gt;0,Source!BA86,1)*Source!I86),2)+ROUND((Source!CS86/IF(Source!BS86&lt;&gt;0,Source!BS86,1)*Source!I86),2)),2)</f>
        <v>0.27</v>
      </c>
    </row>
    <row r="139" spans="1:25" ht="15">
      <c r="A139" s="14"/>
      <c r="B139" s="14"/>
      <c r="C139" s="14" t="s">
        <v>74</v>
      </c>
      <c r="D139" s="17" t="s">
        <v>393</v>
      </c>
      <c r="E139" s="14"/>
      <c r="F139" s="16">
        <f>Source!CA86</f>
        <v>95</v>
      </c>
      <c r="G139" s="14" t="str">
        <f>Source!FU86</f>
        <v>*0.85</v>
      </c>
      <c r="H139" s="16">
        <f>Y139</f>
        <v>0.15</v>
      </c>
      <c r="I139" s="14" t="str">
        <f>Source!FW86</f>
        <v>((*0.8))</v>
      </c>
      <c r="J139" s="16">
        <f>Source!AU86</f>
        <v>65</v>
      </c>
      <c r="K139" s="16">
        <f>Source!Y86</f>
        <v>2.22</v>
      </c>
      <c r="L139" s="14"/>
      <c r="Y139">
        <f>ROUND((Source!FY86/100)*(ROUND((Source!CT86/IF(Source!BA86&lt;&gt;0,Source!BA86,1)*Source!I86),2)+ROUND((Source!CS86/IF(Source!BS86&lt;&gt;0,Source!BS86,1)*Source!I86),2)),2)</f>
        <v>0.15</v>
      </c>
    </row>
    <row r="140" spans="1:12" ht="15">
      <c r="A140" s="34"/>
      <c r="B140" s="34"/>
      <c r="C140" s="34" t="s">
        <v>394</v>
      </c>
      <c r="D140" s="35" t="s">
        <v>395</v>
      </c>
      <c r="E140" s="34">
        <f>Source!AQ86</f>
        <v>0.09</v>
      </c>
      <c r="F140" s="34"/>
      <c r="G140" s="36" t="str">
        <f>Source!DI86</f>
        <v>)*2</v>
      </c>
      <c r="H140" s="34"/>
      <c r="I140" s="34"/>
      <c r="J140" s="34"/>
      <c r="K140" s="34"/>
      <c r="L140" s="37">
        <f>Source!U86</f>
        <v>0.019799999999999998</v>
      </c>
    </row>
    <row r="141" spans="1:23" ht="15.75">
      <c r="A141" s="14"/>
      <c r="B141" s="14"/>
      <c r="C141" s="14"/>
      <c r="D141" s="14"/>
      <c r="E141" s="14"/>
      <c r="F141" s="14"/>
      <c r="G141" s="14"/>
      <c r="H141" s="38">
        <f>ROUND((Source!CT86/IF(Source!BA86&lt;&gt;0,Source!BA86,1)*Source!I86),2)+ROUND((Source!CR86/IF(Source!BB86&lt;&gt;0,Source!BB86,1)*Source!I86),2)+H137+H138+H139</f>
        <v>1427.31</v>
      </c>
      <c r="I141" s="39"/>
      <c r="J141" s="39"/>
      <c r="K141" s="38">
        <f>Source!S86+Source!Q86+K137+K138+K139</f>
        <v>6771.89</v>
      </c>
      <c r="L141" s="38">
        <f>Source!U86</f>
        <v>0.019799999999999998</v>
      </c>
      <c r="M141" s="33">
        <f>H141</f>
        <v>1427.31</v>
      </c>
      <c r="N141">
        <f>ROUND((Source!CT86/IF(Source!BA86&lt;&gt;0,Source!BA86,1)*Source!I86),2)</f>
        <v>0.19</v>
      </c>
      <c r="O141">
        <f>IF(Source!BI86=1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1427.3221435</v>
      </c>
      <c r="P141">
        <f>IF(Source!BI86=2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Q141">
        <f>IF(Source!BI86=3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R141">
        <f>IF(Source!BI86=4,((((Source!CT86/IF(Source!BA86&lt;&gt;0,Source!BA86,1)*Source!I86)+(Source!CR86/IF(Source!BB86&lt;&gt;0,Source!BB86,1)*Source!I86)+(Source!CQ86/IF(Source!BC86&lt;&gt;0,Source!BC86,1)*Source!I86))+((Source!FX86/100)*((Source!CT86/IF(Source!BA86&lt;&gt;0,Source!BA86,1)*Source!I86)+(Source!CS86/IF(Source!BS86&lt;&gt;0,Source!BS86,1)*Source!I86)))+((Source!FY86/100)*((Source!CT86/IF(Source!BA86&lt;&gt;0,Source!BA86,1)*Source!I86)+(Source!CS86/IF(Source!BS86&lt;&gt;0,Source!BS86,1)*Source!I86))))),0)</f>
        <v>0</v>
      </c>
      <c r="S141">
        <f>IF(Source!BI86=1,Source!O86+Source!X86+Source!Y86,0)</f>
        <v>6771.89</v>
      </c>
      <c r="T141">
        <f>IF(Source!BI86=2,Source!O86+Source!X86+Source!Y86,0)</f>
        <v>0</v>
      </c>
      <c r="U141">
        <f>IF(Source!BI86=3,Source!O86+Source!X86+Source!Y86,0)</f>
        <v>0</v>
      </c>
      <c r="V141">
        <f>IF(Source!BI86=4,Source!O86+Source!X86+Source!Y86,0)</f>
        <v>0</v>
      </c>
      <c r="W141">
        <f>ROUND((Source!CS86/IF(Source!BS86&lt;&gt;0,Source!BS86,1)*Source!I86),2)</f>
        <v>0</v>
      </c>
    </row>
    <row r="143" spans="3:23" s="39" customFormat="1" ht="15.75">
      <c r="C143" s="39" t="s">
        <v>176</v>
      </c>
      <c r="G143" s="107">
        <f>SUM(M115:M142)</f>
        <v>10401.74</v>
      </c>
      <c r="H143" s="107"/>
      <c r="J143" s="107">
        <f>ROUND(Source!AB81+Source!AK81+Source!AL81+Source!AE81*0/100,2)</f>
        <v>66668</v>
      </c>
      <c r="K143" s="107"/>
      <c r="L143" s="38">
        <f>Source!AH81</f>
        <v>8.22</v>
      </c>
      <c r="N143" s="38">
        <f aca="true" t="shared" si="2" ref="N143:W143">SUM(N115:N142)</f>
        <v>73.00999999999999</v>
      </c>
      <c r="O143" s="38">
        <f t="shared" si="2"/>
        <v>10401.762643749998</v>
      </c>
      <c r="P143" s="38">
        <f t="shared" si="2"/>
        <v>0</v>
      </c>
      <c r="Q143" s="38">
        <f t="shared" si="2"/>
        <v>0</v>
      </c>
      <c r="R143" s="38">
        <f t="shared" si="2"/>
        <v>0</v>
      </c>
      <c r="S143" s="38">
        <f t="shared" si="2"/>
        <v>66668</v>
      </c>
      <c r="T143" s="38">
        <f t="shared" si="2"/>
        <v>0</v>
      </c>
      <c r="U143" s="38">
        <f t="shared" si="2"/>
        <v>0</v>
      </c>
      <c r="V143" s="38">
        <f t="shared" si="2"/>
        <v>0</v>
      </c>
      <c r="W143" s="39">
        <f t="shared" si="2"/>
        <v>75.24</v>
      </c>
    </row>
    <row r="145" spans="3:30" ht="18">
      <c r="C145" s="26" t="s">
        <v>390</v>
      </c>
      <c r="D145" s="106" t="str">
        <f>IF(Source!C12="1",Source!F104,Source!G104)</f>
        <v>Ремонт внутриквартальной дороги</v>
      </c>
      <c r="E145" s="108"/>
      <c r="F145" s="108"/>
      <c r="G145" s="108"/>
      <c r="H145" s="108"/>
      <c r="I145" s="108"/>
      <c r="J145" s="108"/>
      <c r="K145" s="108"/>
      <c r="L145" s="108"/>
      <c r="AD145" s="28" t="str">
        <f>IF(Source!C12="1",Source!F104,Source!G104)</f>
        <v>Ремонт внутриквартальной дороги</v>
      </c>
    </row>
    <row r="147" spans="1:12" ht="45">
      <c r="A147" s="29" t="str">
        <f>Source!E108</f>
        <v>11</v>
      </c>
      <c r="B147" s="29" t="str">
        <f>Source!F108</f>
        <v>27-04-001-4</v>
      </c>
      <c r="C147" s="30" t="str">
        <f>Source!G108</f>
        <v>Устройство подстилающих и выравнивающих слоев оснований из щебня</v>
      </c>
      <c r="D147" s="31" t="str">
        <f>Source!H108</f>
        <v>100 м3</v>
      </c>
      <c r="E147" s="14">
        <f>ROUND(Source!I108,6)</f>
        <v>0.765</v>
      </c>
      <c r="F147" s="16">
        <f>IF(Source!AK108&lt;&gt;0,Source!AK108,Source!AL108+Source!AM108+Source!AO108)</f>
        <v>3578.4199999999996</v>
      </c>
      <c r="G147" s="14"/>
      <c r="H147" s="14"/>
      <c r="I147" s="32" t="str">
        <f>IF(Source!BO108&lt;&gt;"",Source!BO108,"")</f>
        <v>27-04-001-4</v>
      </c>
      <c r="J147" s="14"/>
      <c r="K147" s="14"/>
      <c r="L147" s="14"/>
    </row>
    <row r="148" spans="1:12" ht="15">
      <c r="A148" s="14"/>
      <c r="B148" s="14"/>
      <c r="C148" s="14" t="s">
        <v>391</v>
      </c>
      <c r="D148" s="14"/>
      <c r="E148" s="14"/>
      <c r="F148" s="16">
        <f>Source!AO108</f>
        <v>195.7</v>
      </c>
      <c r="G148" s="32">
        <f>Source!DG108</f>
      </c>
      <c r="H148" s="16">
        <f>ROUND((Source!CT108/IF(Source!BA108&lt;&gt;0,Source!BA108,1)*Source!I108),2)</f>
        <v>149.71</v>
      </c>
      <c r="I148" s="14"/>
      <c r="J148" s="14">
        <f>Source!BA108</f>
        <v>17.84</v>
      </c>
      <c r="K148" s="16">
        <f>Source!S108</f>
        <v>2670.84</v>
      </c>
      <c r="L148" s="14"/>
    </row>
    <row r="149" spans="1:12" ht="15">
      <c r="A149" s="14"/>
      <c r="B149" s="14"/>
      <c r="C149" s="14" t="s">
        <v>58</v>
      </c>
      <c r="D149" s="14"/>
      <c r="E149" s="14"/>
      <c r="F149" s="16">
        <f>Source!AM108</f>
        <v>3365.64</v>
      </c>
      <c r="G149" s="32">
        <f>Source!DE108</f>
      </c>
      <c r="H149" s="16">
        <f>ROUND((Source!CR108/IF(Source!BB108&lt;&gt;0,Source!BB108,1)*Source!I108),2)</f>
        <v>2574.71</v>
      </c>
      <c r="I149" s="14"/>
      <c r="J149" s="14">
        <f>Source!BB108</f>
        <v>6</v>
      </c>
      <c r="K149" s="16">
        <f>Source!Q108</f>
        <v>15448.29</v>
      </c>
      <c r="L149" s="14"/>
    </row>
    <row r="150" spans="1:12" ht="15">
      <c r="A150" s="14"/>
      <c r="B150" s="14"/>
      <c r="C150" s="14" t="s">
        <v>396</v>
      </c>
      <c r="D150" s="14"/>
      <c r="E150" s="14"/>
      <c r="F150" s="16">
        <f>Source!AN108</f>
        <v>280.98</v>
      </c>
      <c r="G150" s="32">
        <f>Source!DF108</f>
      </c>
      <c r="H150" s="40">
        <f>ROUND((Source!CS108/IF(Source!BS108&lt;&gt;0,Source!BS108,1)*Source!I108),2)</f>
        <v>214.95</v>
      </c>
      <c r="I150" s="14"/>
      <c r="J150" s="14">
        <f>Source!BS108</f>
        <v>17.84</v>
      </c>
      <c r="K150" s="40">
        <f>Source!R108</f>
        <v>3834.7</v>
      </c>
      <c r="L150" s="14"/>
    </row>
    <row r="151" spans="1:12" ht="15">
      <c r="A151" s="14"/>
      <c r="B151" s="14"/>
      <c r="C151" s="14" t="s">
        <v>397</v>
      </c>
      <c r="D151" s="14"/>
      <c r="E151" s="14"/>
      <c r="F151" s="16">
        <f>Source!AL108</f>
        <v>17.08</v>
      </c>
      <c r="G151" s="32">
        <f>Source!DD108</f>
      </c>
      <c r="H151" s="16">
        <f>ROUND((Source!CQ108/IF(Source!BC108&lt;&gt;0,Source!BC108,1)*Source!I108),2)</f>
        <v>13.07</v>
      </c>
      <c r="I151" s="14"/>
      <c r="J151" s="14">
        <f>Source!BC108</f>
        <v>4.95</v>
      </c>
      <c r="K151" s="16">
        <f>Source!P108</f>
        <v>64.68</v>
      </c>
      <c r="L151" s="14"/>
    </row>
    <row r="152" spans="1:24" ht="15">
      <c r="A152" s="14"/>
      <c r="B152" s="14"/>
      <c r="C152" s="14" t="s">
        <v>392</v>
      </c>
      <c r="D152" s="17" t="s">
        <v>393</v>
      </c>
      <c r="E152" s="14"/>
      <c r="F152" s="16">
        <f>Source!BZ108</f>
        <v>142</v>
      </c>
      <c r="G152" s="14"/>
      <c r="H152" s="16">
        <f>X152+X155</f>
        <v>517.82</v>
      </c>
      <c r="I152" s="14" t="str">
        <f>Source!FV108</f>
        <v>((*0.85))</v>
      </c>
      <c r="J152" s="16">
        <f>Source!AT108</f>
        <v>121</v>
      </c>
      <c r="K152" s="16">
        <f>Source!X108+Source!X109</f>
        <v>7871.7</v>
      </c>
      <c r="L152" s="14"/>
      <c r="X152">
        <f>ROUND((Source!FX108/100)*(ROUND((Source!CT108/IF(Source!BA108&lt;&gt;0,Source!BA108,1)*Source!I108),2)+ROUND((Source!CS108/IF(Source!BS108&lt;&gt;0,Source!BS108,1)*Source!I108),2)),2)</f>
        <v>517.82</v>
      </c>
    </row>
    <row r="153" spans="1:25" ht="15">
      <c r="A153" s="14"/>
      <c r="B153" s="14"/>
      <c r="C153" s="14" t="s">
        <v>74</v>
      </c>
      <c r="D153" s="17" t="s">
        <v>393</v>
      </c>
      <c r="E153" s="14"/>
      <c r="F153" s="16">
        <f>Source!CA108</f>
        <v>95</v>
      </c>
      <c r="G153" s="14" t="str">
        <f>Source!FU108</f>
        <v>*0.85</v>
      </c>
      <c r="H153" s="16">
        <f>Y153+Y155</f>
        <v>294.46</v>
      </c>
      <c r="I153" s="14" t="str">
        <f>Source!FW108</f>
        <v>((*0.8))</v>
      </c>
      <c r="J153" s="16">
        <f>Source!AU108</f>
        <v>65</v>
      </c>
      <c r="K153" s="16">
        <f>Source!Y108+Source!Y109</f>
        <v>4228.6</v>
      </c>
      <c r="L153" s="14"/>
      <c r="Y153">
        <f>ROUND((Source!FY108/100)*(ROUND((Source!CT108/IF(Source!BA108&lt;&gt;0,Source!BA108,1)*Source!I108),2)+ROUND((Source!CS108/IF(Source!BS108&lt;&gt;0,Source!BS108,1)*Source!I108),2)),2)</f>
        <v>294.46</v>
      </c>
    </row>
    <row r="154" spans="1:12" ht="15">
      <c r="A154" s="14"/>
      <c r="B154" s="14"/>
      <c r="C154" s="14" t="s">
        <v>394</v>
      </c>
      <c r="D154" s="17" t="s">
        <v>395</v>
      </c>
      <c r="E154" s="14">
        <f>Source!AQ108</f>
        <v>24.19</v>
      </c>
      <c r="F154" s="14"/>
      <c r="G154" s="32">
        <f>Source!DI108</f>
      </c>
      <c r="H154" s="14"/>
      <c r="I154" s="14"/>
      <c r="J154" s="14"/>
      <c r="K154" s="14"/>
      <c r="L154" s="16">
        <f>Source!U108</f>
        <v>18.50535</v>
      </c>
    </row>
    <row r="155" spans="1:25" ht="45">
      <c r="A155" s="42" t="str">
        <f>Source!E109</f>
        <v>11,1</v>
      </c>
      <c r="B155" s="42" t="str">
        <f>Source!F109</f>
        <v>408-0393</v>
      </c>
      <c r="C155" s="43" t="str">
        <f>Source!G109</f>
        <v>Щебень известняковый для строительных работ марки 600 фракции 40-70 мм</v>
      </c>
      <c r="D155" s="44" t="str">
        <f>Source!H109</f>
        <v>м3</v>
      </c>
      <c r="E155" s="34">
        <f>ROUND(Source!I109,6)</f>
        <v>95.625</v>
      </c>
      <c r="F155" s="37">
        <f>IF(Source!AL109=0,Source!AK109,Source!AL109)</f>
        <v>98.6</v>
      </c>
      <c r="G155" s="36">
        <f>Source!DD109</f>
      </c>
      <c r="H155" s="45">
        <f>ROUND((Source!CR109/IF(Source!BB109&lt;&gt;0,Source!BB109,1)*Source!I109),2)+ROUND((Source!CQ109/IF(Source!BC109&lt;&gt;0,Source!BC109,1)*Source!I109),2)+ROUND((Source!CT109/IF(Source!BA109&lt;&gt;0,Source!BA109,1)*Source!I109),2)</f>
        <v>9428.63</v>
      </c>
      <c r="I155" s="36" t="str">
        <f>IF(Source!BO109&lt;&gt;"",Source!BO109,"")</f>
        <v>408-0393</v>
      </c>
      <c r="J155" s="34">
        <f>Source!BC109</f>
        <v>10.79</v>
      </c>
      <c r="K155" s="37">
        <f>Source!O109</f>
        <v>101734.86</v>
      </c>
      <c r="L155" s="34"/>
      <c r="N155">
        <f>ROUND((Source!CT109/IF(Source!BA109&lt;&gt;0,Source!BA109,1)*Source!I109),2)</f>
        <v>0</v>
      </c>
      <c r="O155">
        <f>IF(Source!BI109=1,(ROUND((Source!CR109/IF(Source!BB109&lt;&gt;0,Source!BB109,1)*Source!I109),2)+ROUND((Source!CQ109/IF(Source!BC109&lt;&gt;0,Source!BC109,1)*Source!I109),2)+ROUND((Source!CT109/IF(Source!BA109&lt;&gt;0,Source!BA109,1)*Source!I109),2)),0)</f>
        <v>9428.63</v>
      </c>
      <c r="P155">
        <f>IF(Source!BI109=2,(ROUND((Source!CR109/IF(Source!BB109&lt;&gt;0,Source!BB109,1)*Source!I109),2)+ROUND((Source!CQ109/IF(Source!BC109&lt;&gt;0,Source!BC109,1)*Source!I109),2)+ROUND((Source!CT109/IF(Source!BA109&lt;&gt;0,Source!BA109,1)*Source!I109),2)),0)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Q155">
        <f>IF(Source!BI109=3,(ROUND((Source!CR109/IF(Source!BB109&lt;&gt;0,Source!BB109,1)*Source!I109),2)+ROUND((Source!CQ109/IF(Source!BC109&lt;&gt;0,Source!BC109,1)*Source!I109),2)+ROUND((Source!CT109/IF(Source!BA109&lt;&gt;0,Source!BA109,1)*Source!I109),2)),0)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R155">
        <f>IF(Source!BI109=4,(ROUND((Source!CR109/IF(Source!BB109&lt;&gt;0,Source!BB109,1)*Source!I109),2)+ROUND((Source!CQ109/IF(Source!BC109&lt;&gt;0,Source!BC109,1)*Source!I109),2)+ROUND((Source!CT109/IF(Source!BA109&lt;&gt;0,Source!BA109,1)*Source!I109),2)),0)</f>
        <v>0</v>
      </c>
      <c r="S155">
        <f>IF(Source!BI109=1,Source!O109+Source!X109+Source!Y109,0)</f>
        <v>101734.86</v>
      </c>
      <c r="T155">
        <f>IF(Source!BI109=2,Source!O109+Source!X109+Source!Y109,0)</f>
        <v>0</v>
      </c>
      <c r="U155">
        <f>IF(Source!BI109=3,Source!O109+Source!X109+Source!Y109,0)</f>
        <v>0</v>
      </c>
      <c r="V155">
        <f>IF(Source!BI109=4,Source!O109+Source!X109+Source!Y109,0)</f>
        <v>0</v>
      </c>
      <c r="W155">
        <f>ROUND((Source!CS109/IF(Source!BS109&lt;&gt;0,Source!BS109,1)*Source!I109),2)</f>
        <v>0</v>
      </c>
      <c r="X155">
        <f>ROUND((Source!FX109/100)*(ROUND((Source!CT109/IF(Source!BA109&lt;&gt;0,Source!BA109,1)*Source!I109),2)+ROUND((Source!CS109/IF(Source!BS109&lt;&gt;0,Source!BS109,1)*Source!I109),2)),2)</f>
        <v>0</v>
      </c>
      <c r="Y155">
        <f>ROUND((Source!FY109/100)*(ROUND((Source!CT109/IF(Source!BA109&lt;&gt;0,Source!BA109,1)*Source!I109),2)+ROUND((Source!CS109/IF(Source!BS109&lt;&gt;0,Source!BS109,1)*Source!I109),2)),2)</f>
        <v>0</v>
      </c>
    </row>
    <row r="156" spans="1:23" ht="15.75">
      <c r="A156" s="14"/>
      <c r="B156" s="14"/>
      <c r="C156" s="14"/>
      <c r="D156" s="14"/>
      <c r="E156" s="14"/>
      <c r="F156" s="14"/>
      <c r="G156" s="14"/>
      <c r="H156" s="38">
        <f>ROUND((Source!CT108/IF(Source!BA108&lt;&gt;0,Source!BA108,1)*Source!I108),2)+ROUND((Source!CR108/IF(Source!BB108&lt;&gt;0,Source!BB108,1)*Source!I108),2)+H151+H152+H153+H155</f>
        <v>12978.4</v>
      </c>
      <c r="I156" s="39"/>
      <c r="J156" s="39"/>
      <c r="K156" s="38">
        <f>Source!S108+Source!Q108+K151+K152+K153+K155</f>
        <v>132018.97</v>
      </c>
      <c r="L156" s="38">
        <f>Source!U108</f>
        <v>18.50535</v>
      </c>
      <c r="M156" s="33">
        <f>H156</f>
        <v>12978.4</v>
      </c>
      <c r="N156">
        <f>ROUND((Source!CT108/IF(Source!BA108&lt;&gt;0,Source!BA108,1)*Source!I108),2)</f>
        <v>149.71</v>
      </c>
      <c r="O156">
        <f>IF(Source!BI108=1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3549.7718955000005</v>
      </c>
      <c r="P156">
        <f>IF(Source!BI108=2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Q156">
        <f>IF(Source!BI108=3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R156">
        <f>IF(Source!BI108=4,((((Source!CT108/IF(Source!BA108&lt;&gt;0,Source!BA108,1)*Source!I108)+(Source!CR108/IF(Source!BB108&lt;&gt;0,Source!BB108,1)*Source!I108)+(Source!CQ108/IF(Source!BC108&lt;&gt;0,Source!BC108,1)*Source!I108))+((Source!FX108/100)*((Source!CT108/IF(Source!BA108&lt;&gt;0,Source!BA108,1)*Source!I108)+(Source!CS108/IF(Source!BS108&lt;&gt;0,Source!BS108,1)*Source!I108)))+((Source!FY108/100)*((Source!CT108/IF(Source!BA108&lt;&gt;0,Source!BA108,1)*Source!I108)+(Source!CS108/IF(Source!BS108&lt;&gt;0,Source!BS108,1)*Source!I108))))),0)</f>
        <v>0</v>
      </c>
      <c r="S156">
        <f>IF(Source!BI108=1,Source!O108+Source!X108+Source!Y108,0)</f>
        <v>30284.11</v>
      </c>
      <c r="T156">
        <f>IF(Source!BI108=2,Source!O108+Source!X108+Source!Y108,0)</f>
        <v>0</v>
      </c>
      <c r="U156">
        <f>IF(Source!BI108=3,Source!O108+Source!X108+Source!Y108,0)</f>
        <v>0</v>
      </c>
      <c r="V156">
        <f>IF(Source!BI108=4,Source!O108+Source!X108+Source!Y108,0)</f>
        <v>0</v>
      </c>
      <c r="W156">
        <f>ROUND((Source!CS108/IF(Source!BS108&lt;&gt;0,Source!BS108,1)*Source!I108),2)</f>
        <v>214.95</v>
      </c>
    </row>
    <row r="157" spans="1:12" ht="90">
      <c r="A157" s="29" t="str">
        <f>Source!E110</f>
        <v>12</v>
      </c>
      <c r="B157" s="29" t="str">
        <f>Source!F110</f>
        <v>27-06-020-1</v>
      </c>
      <c r="C157" s="30" t="str">
        <f>Source!G110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57" s="31" t="str">
        <f>Source!H110</f>
        <v>1000 м2</v>
      </c>
      <c r="E157" s="14">
        <f>ROUND(Source!I110,6)</f>
        <v>0.51</v>
      </c>
      <c r="F157" s="16">
        <f>IF(Source!AK110&lt;&gt;0,Source!AK110,Source!AL110+Source!AM110+Source!AO110)</f>
        <v>54732.409999999996</v>
      </c>
      <c r="G157" s="14"/>
      <c r="H157" s="14"/>
      <c r="I157" s="32" t="str">
        <f>IF(Source!BO110&lt;&gt;"",Source!BO110,"")</f>
        <v>27-06-020-1</v>
      </c>
      <c r="J157" s="14"/>
      <c r="K157" s="14"/>
      <c r="L157" s="14"/>
    </row>
    <row r="158" spans="1:12" ht="15">
      <c r="A158" s="14"/>
      <c r="B158" s="14"/>
      <c r="C158" s="14" t="s">
        <v>391</v>
      </c>
      <c r="D158" s="14"/>
      <c r="E158" s="14"/>
      <c r="F158" s="16">
        <f>Source!AO110</f>
        <v>368.45</v>
      </c>
      <c r="G158" s="32">
        <f>Source!DG110</f>
      </c>
      <c r="H158" s="16">
        <f>ROUND((Source!CT110/IF(Source!BA110&lt;&gt;0,Source!BA110,1)*Source!I110),2)</f>
        <v>187.91</v>
      </c>
      <c r="I158" s="14"/>
      <c r="J158" s="14">
        <f>Source!BA110</f>
        <v>17.84</v>
      </c>
      <c r="K158" s="16">
        <f>Source!S110</f>
        <v>3352.31</v>
      </c>
      <c r="L158" s="14"/>
    </row>
    <row r="159" spans="1:12" ht="15">
      <c r="A159" s="14"/>
      <c r="B159" s="14"/>
      <c r="C159" s="14" t="s">
        <v>58</v>
      </c>
      <c r="D159" s="14"/>
      <c r="E159" s="14"/>
      <c r="F159" s="16">
        <f>Source!AM110</f>
        <v>2386.22</v>
      </c>
      <c r="G159" s="32">
        <f>Source!DE110</f>
      </c>
      <c r="H159" s="16">
        <f>ROUND((Source!CR110/IF(Source!BB110&lt;&gt;0,Source!BB110,1)*Source!I110),2)</f>
        <v>1216.97</v>
      </c>
      <c r="I159" s="14"/>
      <c r="J159" s="14">
        <f>Source!BB110</f>
        <v>4.93</v>
      </c>
      <c r="K159" s="16">
        <f>Source!Q110</f>
        <v>5999.67</v>
      </c>
      <c r="L159" s="14"/>
    </row>
    <row r="160" spans="1:12" ht="15">
      <c r="A160" s="14"/>
      <c r="B160" s="14"/>
      <c r="C160" s="14" t="s">
        <v>396</v>
      </c>
      <c r="D160" s="14"/>
      <c r="E160" s="14"/>
      <c r="F160" s="16">
        <f>Source!AN110</f>
        <v>262.54</v>
      </c>
      <c r="G160" s="32">
        <f>Source!DF110</f>
      </c>
      <c r="H160" s="40">
        <f>ROUND((Source!CS110/IF(Source!BS110&lt;&gt;0,Source!BS110,1)*Source!I110),2)</f>
        <v>133.9</v>
      </c>
      <c r="I160" s="14"/>
      <c r="J160" s="14">
        <f>Source!BS110</f>
        <v>17.84</v>
      </c>
      <c r="K160" s="40">
        <f>Source!R110</f>
        <v>2388.69</v>
      </c>
      <c r="L160" s="14"/>
    </row>
    <row r="161" spans="1:12" ht="15">
      <c r="A161" s="14"/>
      <c r="B161" s="14"/>
      <c r="C161" s="14" t="s">
        <v>397</v>
      </c>
      <c r="D161" s="14"/>
      <c r="E161" s="14"/>
      <c r="F161" s="16">
        <f>Source!AL110</f>
        <v>51977.74</v>
      </c>
      <c r="G161" s="32">
        <f>Source!DD110</f>
      </c>
      <c r="H161" s="16">
        <f>ROUND((Source!CQ110/IF(Source!BC110&lt;&gt;0,Source!BC110,1)*Source!I110),2)</f>
        <v>26508.65</v>
      </c>
      <c r="I161" s="14"/>
      <c r="J161" s="14">
        <f>Source!BC110</f>
        <v>4.74</v>
      </c>
      <c r="K161" s="16">
        <f>Source!P110</f>
        <v>125650.99</v>
      </c>
      <c r="L161" s="14"/>
    </row>
    <row r="162" spans="1:24" ht="15">
      <c r="A162" s="14"/>
      <c r="B162" s="14"/>
      <c r="C162" s="14" t="s">
        <v>392</v>
      </c>
      <c r="D162" s="17" t="s">
        <v>393</v>
      </c>
      <c r="E162" s="14"/>
      <c r="F162" s="16">
        <f>Source!BZ110</f>
        <v>142</v>
      </c>
      <c r="G162" s="14"/>
      <c r="H162" s="16">
        <f>X162</f>
        <v>456.97</v>
      </c>
      <c r="I162" s="14" t="str">
        <f>Source!FV110</f>
        <v>((*0.85))</v>
      </c>
      <c r="J162" s="16">
        <f>Source!AT110</f>
        <v>121</v>
      </c>
      <c r="K162" s="16">
        <f>Source!X110</f>
        <v>6946.61</v>
      </c>
      <c r="L162" s="14"/>
      <c r="X162">
        <f>ROUND((Source!FX110/100)*(ROUND((Source!CT110/IF(Source!BA110&lt;&gt;0,Source!BA110,1)*Source!I110),2)+ROUND((Source!CS110/IF(Source!BS110&lt;&gt;0,Source!BS110,1)*Source!I110),2)),2)</f>
        <v>456.97</v>
      </c>
    </row>
    <row r="163" spans="1:25" ht="15">
      <c r="A163" s="14"/>
      <c r="B163" s="14"/>
      <c r="C163" s="14" t="s">
        <v>74</v>
      </c>
      <c r="D163" s="17" t="s">
        <v>393</v>
      </c>
      <c r="E163" s="14"/>
      <c r="F163" s="16">
        <f>Source!CA110</f>
        <v>95</v>
      </c>
      <c r="G163" s="14" t="str">
        <f>Source!FU110</f>
        <v>*0.85</v>
      </c>
      <c r="H163" s="16">
        <f>Y163</f>
        <v>259.86</v>
      </c>
      <c r="I163" s="14" t="str">
        <f>Source!FW110</f>
        <v>((*0.8))</v>
      </c>
      <c r="J163" s="16">
        <f>Source!AU110</f>
        <v>65</v>
      </c>
      <c r="K163" s="16">
        <f>Source!Y110</f>
        <v>3731.65</v>
      </c>
      <c r="L163" s="14"/>
      <c r="Y163">
        <f>ROUND((Source!FY110/100)*(ROUND((Source!CT110/IF(Source!BA110&lt;&gt;0,Source!BA110,1)*Source!I110),2)+ROUND((Source!CS110/IF(Source!BS110&lt;&gt;0,Source!BS110,1)*Source!I110),2)),2)</f>
        <v>259.86</v>
      </c>
    </row>
    <row r="164" spans="1:12" ht="15">
      <c r="A164" s="34"/>
      <c r="B164" s="34"/>
      <c r="C164" s="34" t="s">
        <v>394</v>
      </c>
      <c r="D164" s="35" t="s">
        <v>395</v>
      </c>
      <c r="E164" s="34">
        <f>Source!AQ110</f>
        <v>38.3</v>
      </c>
      <c r="F164" s="34"/>
      <c r="G164" s="36">
        <f>Source!DI110</f>
      </c>
      <c r="H164" s="34"/>
      <c r="I164" s="34"/>
      <c r="J164" s="34"/>
      <c r="K164" s="34"/>
      <c r="L164" s="37">
        <f>Source!U110</f>
        <v>19.532999999999998</v>
      </c>
    </row>
    <row r="165" spans="1:23" ht="15.75">
      <c r="A165" s="14"/>
      <c r="B165" s="14"/>
      <c r="C165" s="14"/>
      <c r="D165" s="14"/>
      <c r="E165" s="14"/>
      <c r="F165" s="14"/>
      <c r="G165" s="14"/>
      <c r="H165" s="38">
        <f>ROUND((Source!CT110/IF(Source!BA110&lt;&gt;0,Source!BA110,1)*Source!I110),2)+ROUND((Source!CR110/IF(Source!BB110&lt;&gt;0,Source!BB110,1)*Source!I110),2)+H161+H162+H163</f>
        <v>28630.360000000004</v>
      </c>
      <c r="I165" s="39"/>
      <c r="J165" s="39"/>
      <c r="K165" s="38">
        <f>Source!S110+Source!Q110+K161+K162+K163</f>
        <v>145681.22999999998</v>
      </c>
      <c r="L165" s="38">
        <f>Source!U110</f>
        <v>19.532999999999998</v>
      </c>
      <c r="M165" s="33">
        <f>H165</f>
        <v>28630.360000000004</v>
      </c>
      <c r="N165">
        <f>ROUND((Source!CT110/IF(Source!BA110&lt;&gt;0,Source!BA110,1)*Source!I110),2)</f>
        <v>187.91</v>
      </c>
      <c r="O165">
        <f>IF(Source!BI110=1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28630.34951475</v>
      </c>
      <c r="P165">
        <f>IF(Source!BI110=2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Q165">
        <f>IF(Source!BI110=3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R165">
        <f>IF(Source!BI110=4,((((Source!CT110/IF(Source!BA110&lt;&gt;0,Source!BA110,1)*Source!I110)+(Source!CR110/IF(Source!BB110&lt;&gt;0,Source!BB110,1)*Source!I110)+(Source!CQ110/IF(Source!BC110&lt;&gt;0,Source!BC110,1)*Source!I110))+((Source!FX110/100)*((Source!CT110/IF(Source!BA110&lt;&gt;0,Source!BA110,1)*Source!I110)+(Source!CS110/IF(Source!BS110&lt;&gt;0,Source!BS110,1)*Source!I110)))+((Source!FY110/100)*((Source!CT110/IF(Source!BA110&lt;&gt;0,Source!BA110,1)*Source!I110)+(Source!CS110/IF(Source!BS110&lt;&gt;0,Source!BS110,1)*Source!I110))))),0)</f>
        <v>0</v>
      </c>
      <c r="S165">
        <f>IF(Source!BI110=1,Source!O110+Source!X110+Source!Y110,0)</f>
        <v>145681.22999999998</v>
      </c>
      <c r="T165">
        <f>IF(Source!BI110=2,Source!O110+Source!X110+Source!Y110,0)</f>
        <v>0</v>
      </c>
      <c r="U165">
        <f>IF(Source!BI110=3,Source!O110+Source!X110+Source!Y110,0)</f>
        <v>0</v>
      </c>
      <c r="V165">
        <f>IF(Source!BI110=4,Source!O110+Source!X110+Source!Y110,0)</f>
        <v>0</v>
      </c>
      <c r="W165">
        <f>ROUND((Source!CS110/IF(Source!BS110&lt;&gt;0,Source!BS110,1)*Source!I110),2)</f>
        <v>133.9</v>
      </c>
    </row>
    <row r="166" spans="1:12" ht="60">
      <c r="A166" s="29" t="str">
        <f>Source!E111</f>
        <v>13</v>
      </c>
      <c r="B166" s="29" t="str">
        <f>Source!F111</f>
        <v>27-06-021-1</v>
      </c>
      <c r="C166" s="30" t="str">
        <f>Source!G111</f>
        <v>На каждые 0,5 см изменения толщины покрытия добавлять или исключать к расценке 27-06-020-01</v>
      </c>
      <c r="D166" s="31" t="str">
        <f>Source!H111</f>
        <v>1000 м2</v>
      </c>
      <c r="E166" s="14">
        <f>ROUND(Source!I111,6)</f>
        <v>0.51</v>
      </c>
      <c r="F166" s="16">
        <f>IF(Source!AK111&lt;&gt;0,Source!AK111,Source!AL111+Source!AM111+Source!AO111)</f>
        <v>6485.89</v>
      </c>
      <c r="G166" s="14"/>
      <c r="H166" s="14"/>
      <c r="I166" s="32" t="str">
        <f>IF(Source!BO111&lt;&gt;"",Source!BO111,"")</f>
        <v>27-06-021-1</v>
      </c>
      <c r="J166" s="14"/>
      <c r="K166" s="14"/>
      <c r="L166" s="14"/>
    </row>
    <row r="167" spans="1:12" ht="15">
      <c r="A167" s="14"/>
      <c r="B167" s="14"/>
      <c r="C167" s="14" t="s">
        <v>391</v>
      </c>
      <c r="D167" s="14"/>
      <c r="E167" s="14"/>
      <c r="F167" s="16">
        <f>Source!AO111</f>
        <v>0.87</v>
      </c>
      <c r="G167" s="32" t="str">
        <f>Source!DG111</f>
        <v>)*2</v>
      </c>
      <c r="H167" s="16">
        <f>ROUND((Source!CT111/IF(Source!BA111&lt;&gt;0,Source!BA111,1)*Source!I111),2)</f>
        <v>0.89</v>
      </c>
      <c r="I167" s="14"/>
      <c r="J167" s="14">
        <f>Source!BA111</f>
        <v>17.84</v>
      </c>
      <c r="K167" s="16">
        <f>Source!S111</f>
        <v>15.83</v>
      </c>
      <c r="L167" s="14"/>
    </row>
    <row r="168" spans="1:12" ht="15">
      <c r="A168" s="14"/>
      <c r="B168" s="14"/>
      <c r="C168" s="14" t="s">
        <v>58</v>
      </c>
      <c r="D168" s="14"/>
      <c r="E168" s="14"/>
      <c r="F168" s="16">
        <f>Source!AM111</f>
        <v>3.1</v>
      </c>
      <c r="G168" s="32" t="str">
        <f>Source!DE111</f>
        <v>)*2</v>
      </c>
      <c r="H168" s="16">
        <f>ROUND((Source!CR111/IF(Source!BB111&lt;&gt;0,Source!BB111,1)*Source!I111),2)</f>
        <v>3.16</v>
      </c>
      <c r="I168" s="14"/>
      <c r="J168" s="14">
        <f>Source!BB111</f>
        <v>4.07</v>
      </c>
      <c r="K168" s="16">
        <f>Source!Q111</f>
        <v>12.87</v>
      </c>
      <c r="L168" s="14"/>
    </row>
    <row r="169" spans="1:12" ht="15">
      <c r="A169" s="14"/>
      <c r="B169" s="14"/>
      <c r="C169" s="14" t="s">
        <v>397</v>
      </c>
      <c r="D169" s="14"/>
      <c r="E169" s="14"/>
      <c r="F169" s="16">
        <f>Source!AL111</f>
        <v>6481.92</v>
      </c>
      <c r="G169" s="32" t="str">
        <f>Source!DD111</f>
        <v>)*2</v>
      </c>
      <c r="H169" s="16">
        <f>ROUND((Source!CQ111/IF(Source!BC111&lt;&gt;0,Source!BC111,1)*Source!I111),2)</f>
        <v>6611.56</v>
      </c>
      <c r="I169" s="14"/>
      <c r="J169" s="14">
        <f>Source!BC111</f>
        <v>4.74</v>
      </c>
      <c r="K169" s="16">
        <f>Source!P111</f>
        <v>31338.79</v>
      </c>
      <c r="L169" s="14"/>
    </row>
    <row r="170" spans="1:24" ht="15">
      <c r="A170" s="14"/>
      <c r="B170" s="14"/>
      <c r="C170" s="14" t="s">
        <v>392</v>
      </c>
      <c r="D170" s="17" t="s">
        <v>393</v>
      </c>
      <c r="E170" s="14"/>
      <c r="F170" s="16">
        <f>Source!BZ111</f>
        <v>142</v>
      </c>
      <c r="G170" s="14"/>
      <c r="H170" s="16">
        <f>X170</f>
        <v>1.26</v>
      </c>
      <c r="I170" s="14" t="str">
        <f>Source!FV111</f>
        <v>((*0.85))</v>
      </c>
      <c r="J170" s="16">
        <f>Source!AT111</f>
        <v>121</v>
      </c>
      <c r="K170" s="16">
        <f>Source!X111</f>
        <v>19.15</v>
      </c>
      <c r="L170" s="14"/>
      <c r="X170">
        <f>ROUND((Source!FX111/100)*(ROUND((Source!CT111/IF(Source!BA111&lt;&gt;0,Source!BA111,1)*Source!I111),2)+ROUND((Source!CS111/IF(Source!BS111&lt;&gt;0,Source!BS111,1)*Source!I111),2)),2)</f>
        <v>1.26</v>
      </c>
    </row>
    <row r="171" spans="1:25" ht="15">
      <c r="A171" s="14"/>
      <c r="B171" s="14"/>
      <c r="C171" s="14" t="s">
        <v>74</v>
      </c>
      <c r="D171" s="17" t="s">
        <v>393</v>
      </c>
      <c r="E171" s="14"/>
      <c r="F171" s="16">
        <f>Source!CA111</f>
        <v>95</v>
      </c>
      <c r="G171" s="14" t="str">
        <f>Source!FU111</f>
        <v>*0.85</v>
      </c>
      <c r="H171" s="16">
        <f>Y171</f>
        <v>0.72</v>
      </c>
      <c r="I171" s="14" t="str">
        <f>Source!FW111</f>
        <v>((*0.8))</v>
      </c>
      <c r="J171" s="16">
        <f>Source!AU111</f>
        <v>65</v>
      </c>
      <c r="K171" s="16">
        <f>Source!Y111</f>
        <v>10.29</v>
      </c>
      <c r="L171" s="14"/>
      <c r="Y171">
        <f>ROUND((Source!FY111/100)*(ROUND((Source!CT111/IF(Source!BA111&lt;&gt;0,Source!BA111,1)*Source!I111),2)+ROUND((Source!CS111/IF(Source!BS111&lt;&gt;0,Source!BS111,1)*Source!I111),2)),2)</f>
        <v>0.72</v>
      </c>
    </row>
    <row r="172" spans="1:12" ht="15">
      <c r="A172" s="34"/>
      <c r="B172" s="34"/>
      <c r="C172" s="34" t="s">
        <v>394</v>
      </c>
      <c r="D172" s="35" t="s">
        <v>395</v>
      </c>
      <c r="E172" s="34">
        <f>Source!AQ111</f>
        <v>0.09</v>
      </c>
      <c r="F172" s="34"/>
      <c r="G172" s="36" t="str">
        <f>Source!DI111</f>
        <v>)*2</v>
      </c>
      <c r="H172" s="34"/>
      <c r="I172" s="34"/>
      <c r="J172" s="34"/>
      <c r="K172" s="34"/>
      <c r="L172" s="37">
        <f>Source!U111</f>
        <v>0.09179999999999999</v>
      </c>
    </row>
    <row r="173" spans="1:23" ht="15.75">
      <c r="A173" s="14"/>
      <c r="B173" s="14"/>
      <c r="C173" s="14"/>
      <c r="D173" s="14"/>
      <c r="E173" s="14"/>
      <c r="F173" s="14"/>
      <c r="G173" s="14"/>
      <c r="H173" s="38">
        <f>ROUND((Source!CT111/IF(Source!BA111&lt;&gt;0,Source!BA111,1)*Source!I111),2)+ROUND((Source!CR111/IF(Source!BB111&lt;&gt;0,Source!BB111,1)*Source!I111),2)+H169+H170+H171</f>
        <v>6617.590000000001</v>
      </c>
      <c r="I173" s="39"/>
      <c r="J173" s="39"/>
      <c r="K173" s="38">
        <f>Source!S111+Source!Q111+K169+K170+K171</f>
        <v>31396.930000000004</v>
      </c>
      <c r="L173" s="38">
        <f>Source!U111</f>
        <v>0.09179999999999999</v>
      </c>
      <c r="M173" s="33">
        <f>H173</f>
        <v>6617.590000000001</v>
      </c>
      <c r="N173">
        <f>ROUND((Source!CT111/IF(Source!BA111&lt;&gt;0,Source!BA111,1)*Source!I111),2)</f>
        <v>0.89</v>
      </c>
      <c r="O173">
        <f>IF(Source!BI111=1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6617.5844835</v>
      </c>
      <c r="P173">
        <f>IF(Source!BI111=2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Q173">
        <f>IF(Source!BI111=3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R173">
        <f>IF(Source!BI111=4,((((Source!CT111/IF(Source!BA111&lt;&gt;0,Source!BA111,1)*Source!I111)+(Source!CR111/IF(Source!BB111&lt;&gt;0,Source!BB111,1)*Source!I111)+(Source!CQ111/IF(Source!BC111&lt;&gt;0,Source!BC111,1)*Source!I111))+((Source!FX111/100)*((Source!CT111/IF(Source!BA111&lt;&gt;0,Source!BA111,1)*Source!I111)+(Source!CS111/IF(Source!BS111&lt;&gt;0,Source!BS111,1)*Source!I111)))+((Source!FY111/100)*((Source!CT111/IF(Source!BA111&lt;&gt;0,Source!BA111,1)*Source!I111)+(Source!CS111/IF(Source!BS111&lt;&gt;0,Source!BS111,1)*Source!I111))))),0)</f>
        <v>0</v>
      </c>
      <c r="S173">
        <f>IF(Source!BI111=1,Source!O111+Source!X111+Source!Y111,0)</f>
        <v>31396.930000000004</v>
      </c>
      <c r="T173">
        <f>IF(Source!BI111=2,Source!O111+Source!X111+Source!Y111,0)</f>
        <v>0</v>
      </c>
      <c r="U173">
        <f>IF(Source!BI111=3,Source!O111+Source!X111+Source!Y111,0)</f>
        <v>0</v>
      </c>
      <c r="V173">
        <f>IF(Source!BI111=4,Source!O111+Source!X111+Source!Y111,0)</f>
        <v>0</v>
      </c>
      <c r="W173">
        <f>ROUND((Source!CS111/IF(Source!BS111&lt;&gt;0,Source!BS111,1)*Source!I111),2)</f>
        <v>0</v>
      </c>
    </row>
    <row r="175" spans="3:23" s="39" customFormat="1" ht="15.75">
      <c r="C175" s="39" t="s">
        <v>176</v>
      </c>
      <c r="G175" s="107">
        <f>SUM(M147:M174)</f>
        <v>48226.350000000006</v>
      </c>
      <c r="H175" s="107"/>
      <c r="J175" s="107">
        <f>ROUND(Source!AB106+Source!AK106+Source!AL106+Source!AE106*0/100,2)</f>
        <v>309097.13</v>
      </c>
      <c r="K175" s="107"/>
      <c r="L175" s="38">
        <f>Source!AH106</f>
        <v>38.13</v>
      </c>
      <c r="N175" s="38">
        <f aca="true" t="shared" si="3" ref="N175:W175">SUM(N147:N174)</f>
        <v>338.51</v>
      </c>
      <c r="O175" s="38">
        <f t="shared" si="3"/>
        <v>48226.33589375</v>
      </c>
      <c r="P175" s="38">
        <f t="shared" si="3"/>
        <v>0</v>
      </c>
      <c r="Q175" s="38">
        <f t="shared" si="3"/>
        <v>0</v>
      </c>
      <c r="R175" s="38">
        <f t="shared" si="3"/>
        <v>0</v>
      </c>
      <c r="S175" s="38">
        <f t="shared" si="3"/>
        <v>309097.12999999995</v>
      </c>
      <c r="T175" s="38">
        <f t="shared" si="3"/>
        <v>0</v>
      </c>
      <c r="U175" s="38">
        <f t="shared" si="3"/>
        <v>0</v>
      </c>
      <c r="V175" s="38">
        <f t="shared" si="3"/>
        <v>0</v>
      </c>
      <c r="W175" s="39">
        <f t="shared" si="3"/>
        <v>348.85</v>
      </c>
    </row>
    <row r="177" spans="3:30" ht="18">
      <c r="C177" s="26" t="s">
        <v>390</v>
      </c>
      <c r="D177" s="106" t="str">
        <f>IF(Source!C12="1",Source!F129,Source!G129)</f>
        <v>Ремонт придомовой территории</v>
      </c>
      <c r="E177" s="108"/>
      <c r="F177" s="108"/>
      <c r="G177" s="108"/>
      <c r="H177" s="108"/>
      <c r="I177" s="108"/>
      <c r="J177" s="108"/>
      <c r="K177" s="108"/>
      <c r="L177" s="108"/>
      <c r="AD177" s="28" t="str">
        <f>IF(Source!C12="1",Source!F129,Source!G129)</f>
        <v>Ремонт придомовой территории</v>
      </c>
    </row>
    <row r="179" spans="1:12" ht="45">
      <c r="A179" s="29" t="str">
        <f>Source!E133</f>
        <v>14</v>
      </c>
      <c r="B179" s="29" t="str">
        <f>Source!F133</f>
        <v>27-04-001-4</v>
      </c>
      <c r="C179" s="30" t="str">
        <f>Source!G133</f>
        <v>Устройство подстилающих и выравнивающих слоев оснований из щебня</v>
      </c>
      <c r="D179" s="31" t="str">
        <f>Source!H133</f>
        <v>100 м3</v>
      </c>
      <c r="E179" s="14">
        <f>ROUND(Source!I133,6)</f>
        <v>0.495</v>
      </c>
      <c r="F179" s="16">
        <f>IF(Source!AK133&lt;&gt;0,Source!AK133,Source!AL133+Source!AM133+Source!AO133)</f>
        <v>3578.4199999999996</v>
      </c>
      <c r="G179" s="14"/>
      <c r="H179" s="14"/>
      <c r="I179" s="32" t="str">
        <f>IF(Source!BO133&lt;&gt;"",Source!BO133,"")</f>
        <v>27-04-001-4</v>
      </c>
      <c r="J179" s="14"/>
      <c r="K179" s="14"/>
      <c r="L179" s="14"/>
    </row>
    <row r="180" spans="1:12" ht="15">
      <c r="A180" s="14"/>
      <c r="B180" s="14"/>
      <c r="C180" s="14" t="s">
        <v>391</v>
      </c>
      <c r="D180" s="14"/>
      <c r="E180" s="14"/>
      <c r="F180" s="16">
        <f>Source!AO133</f>
        <v>195.7</v>
      </c>
      <c r="G180" s="32">
        <f>Source!DG133</f>
      </c>
      <c r="H180" s="16">
        <f>ROUND((Source!CT133/IF(Source!BA133&lt;&gt;0,Source!BA133,1)*Source!I133),2)</f>
        <v>96.87</v>
      </c>
      <c r="I180" s="14"/>
      <c r="J180" s="14">
        <f>Source!BA133</f>
        <v>17.84</v>
      </c>
      <c r="K180" s="16">
        <f>Source!S133</f>
        <v>1728.19</v>
      </c>
      <c r="L180" s="14"/>
    </row>
    <row r="181" spans="1:12" ht="15">
      <c r="A181" s="14"/>
      <c r="B181" s="14"/>
      <c r="C181" s="14" t="s">
        <v>58</v>
      </c>
      <c r="D181" s="14"/>
      <c r="E181" s="14"/>
      <c r="F181" s="16">
        <f>Source!AM133</f>
        <v>3365.64</v>
      </c>
      <c r="G181" s="32">
        <f>Source!DE133</f>
      </c>
      <c r="H181" s="16">
        <f>ROUND((Source!CR133/IF(Source!BB133&lt;&gt;0,Source!BB133,1)*Source!I133),2)</f>
        <v>1665.99</v>
      </c>
      <c r="I181" s="14"/>
      <c r="J181" s="14">
        <f>Source!BB133</f>
        <v>6</v>
      </c>
      <c r="K181" s="16">
        <f>Source!Q133</f>
        <v>9995.95</v>
      </c>
      <c r="L181" s="14"/>
    </row>
    <row r="182" spans="1:12" ht="15">
      <c r="A182" s="14"/>
      <c r="B182" s="14"/>
      <c r="C182" s="14" t="s">
        <v>396</v>
      </c>
      <c r="D182" s="14"/>
      <c r="E182" s="14"/>
      <c r="F182" s="16">
        <f>Source!AN133</f>
        <v>280.98</v>
      </c>
      <c r="G182" s="32">
        <f>Source!DF133</f>
      </c>
      <c r="H182" s="40">
        <f>ROUND((Source!CS133/IF(Source!BS133&lt;&gt;0,Source!BS133,1)*Source!I133),2)</f>
        <v>139.09</v>
      </c>
      <c r="I182" s="14"/>
      <c r="J182" s="14">
        <f>Source!BS133</f>
        <v>17.84</v>
      </c>
      <c r="K182" s="40">
        <f>Source!R133</f>
        <v>2481.28</v>
      </c>
      <c r="L182" s="14"/>
    </row>
    <row r="183" spans="1:12" ht="15">
      <c r="A183" s="14"/>
      <c r="B183" s="14"/>
      <c r="C183" s="14" t="s">
        <v>397</v>
      </c>
      <c r="D183" s="14"/>
      <c r="E183" s="14"/>
      <c r="F183" s="16">
        <f>Source!AL133</f>
        <v>17.08</v>
      </c>
      <c r="G183" s="32">
        <f>Source!DD133</f>
      </c>
      <c r="H183" s="16">
        <f>ROUND((Source!CQ133/IF(Source!BC133&lt;&gt;0,Source!BC133,1)*Source!I133),2)</f>
        <v>8.45</v>
      </c>
      <c r="I183" s="14"/>
      <c r="J183" s="14">
        <f>Source!BC133</f>
        <v>4.95</v>
      </c>
      <c r="K183" s="16">
        <f>Source!P133</f>
        <v>41.85</v>
      </c>
      <c r="L183" s="14"/>
    </row>
    <row r="184" spans="1:24" ht="15">
      <c r="A184" s="14"/>
      <c r="B184" s="14"/>
      <c r="C184" s="14" t="s">
        <v>392</v>
      </c>
      <c r="D184" s="17" t="s">
        <v>393</v>
      </c>
      <c r="E184" s="14"/>
      <c r="F184" s="16">
        <f>Source!BZ133</f>
        <v>142</v>
      </c>
      <c r="G184" s="14"/>
      <c r="H184" s="16">
        <f>X184+X187</f>
        <v>335.06</v>
      </c>
      <c r="I184" s="14" t="str">
        <f>Source!FV133</f>
        <v>((*0.85))</v>
      </c>
      <c r="J184" s="16">
        <f>Source!AT133</f>
        <v>121</v>
      </c>
      <c r="K184" s="16">
        <f>Source!X133+Source!X134</f>
        <v>5093.46</v>
      </c>
      <c r="L184" s="14"/>
      <c r="X184">
        <f>ROUND((Source!FX133/100)*(ROUND((Source!CT133/IF(Source!BA133&lt;&gt;0,Source!BA133,1)*Source!I133),2)+ROUND((Source!CS133/IF(Source!BS133&lt;&gt;0,Source!BS133,1)*Source!I133),2)),2)</f>
        <v>335.06</v>
      </c>
    </row>
    <row r="185" spans="1:25" ht="15">
      <c r="A185" s="14"/>
      <c r="B185" s="14"/>
      <c r="C185" s="14" t="s">
        <v>74</v>
      </c>
      <c r="D185" s="17" t="s">
        <v>393</v>
      </c>
      <c r="E185" s="14"/>
      <c r="F185" s="16">
        <f>Source!CA133</f>
        <v>95</v>
      </c>
      <c r="G185" s="14" t="str">
        <f>Source!FU133</f>
        <v>*0.85</v>
      </c>
      <c r="H185" s="16">
        <f>Y185+Y187</f>
        <v>190.54</v>
      </c>
      <c r="I185" s="14" t="str">
        <f>Source!FW133</f>
        <v>((*0.8))</v>
      </c>
      <c r="J185" s="16">
        <f>Source!AU133</f>
        <v>65</v>
      </c>
      <c r="K185" s="16">
        <f>Source!Y133+Source!Y134</f>
        <v>2736.16</v>
      </c>
      <c r="L185" s="14"/>
      <c r="Y185">
        <f>ROUND((Source!FY133/100)*(ROUND((Source!CT133/IF(Source!BA133&lt;&gt;0,Source!BA133,1)*Source!I133),2)+ROUND((Source!CS133/IF(Source!BS133&lt;&gt;0,Source!BS133,1)*Source!I133),2)),2)</f>
        <v>190.54</v>
      </c>
    </row>
    <row r="186" spans="1:12" ht="15">
      <c r="A186" s="14"/>
      <c r="B186" s="14"/>
      <c r="C186" s="14" t="s">
        <v>394</v>
      </c>
      <c r="D186" s="17" t="s">
        <v>395</v>
      </c>
      <c r="E186" s="14">
        <f>Source!AQ133</f>
        <v>24.19</v>
      </c>
      <c r="F186" s="14"/>
      <c r="G186" s="32">
        <f>Source!DI133</f>
      </c>
      <c r="H186" s="14"/>
      <c r="I186" s="14"/>
      <c r="J186" s="14"/>
      <c r="K186" s="14"/>
      <c r="L186" s="16">
        <f>Source!U133</f>
        <v>11.97405</v>
      </c>
    </row>
    <row r="187" spans="1:25" ht="45">
      <c r="A187" s="42" t="str">
        <f>Source!E134</f>
        <v>14,1</v>
      </c>
      <c r="B187" s="42" t="str">
        <f>Source!F134</f>
        <v>408-0393</v>
      </c>
      <c r="C187" s="43" t="str">
        <f>Source!G134</f>
        <v>Щебень известняковый для строительных работ марки 600 фракции 40-70 мм</v>
      </c>
      <c r="D187" s="44" t="str">
        <f>Source!H134</f>
        <v>м3</v>
      </c>
      <c r="E187" s="34">
        <f>ROUND(Source!I134,6)</f>
        <v>61.875</v>
      </c>
      <c r="F187" s="37">
        <f>IF(Source!AL134=0,Source!AK134,Source!AL134)</f>
        <v>98.6</v>
      </c>
      <c r="G187" s="36">
        <f>Source!DD134</f>
      </c>
      <c r="H187" s="45">
        <f>ROUND((Source!CR134/IF(Source!BB134&lt;&gt;0,Source!BB134,1)*Source!I134),2)+ROUND((Source!CQ134/IF(Source!BC134&lt;&gt;0,Source!BC134,1)*Source!I134),2)+ROUND((Source!CT134/IF(Source!BA134&lt;&gt;0,Source!BA134,1)*Source!I134),2)</f>
        <v>6100.88</v>
      </c>
      <c r="I187" s="36" t="str">
        <f>IF(Source!BO134&lt;&gt;"",Source!BO134,"")</f>
        <v>408-0393</v>
      </c>
      <c r="J187" s="34">
        <f>Source!BC134</f>
        <v>10.79</v>
      </c>
      <c r="K187" s="37">
        <f>Source!O134</f>
        <v>65828.44</v>
      </c>
      <c r="L187" s="34"/>
      <c r="N187">
        <f>ROUND((Source!CT134/IF(Source!BA134&lt;&gt;0,Source!BA134,1)*Source!I134),2)</f>
        <v>0</v>
      </c>
      <c r="O187">
        <f>IF(Source!BI134=1,(ROUND((Source!CR134/IF(Source!BB134&lt;&gt;0,Source!BB134,1)*Source!I134),2)+ROUND((Source!CQ134/IF(Source!BC134&lt;&gt;0,Source!BC134,1)*Source!I134),2)+ROUND((Source!CT134/IF(Source!BA134&lt;&gt;0,Source!BA134,1)*Source!I134),2)),0)</f>
        <v>6100.88</v>
      </c>
      <c r="P187">
        <f>IF(Source!BI134=2,(ROUND((Source!CR134/IF(Source!BB134&lt;&gt;0,Source!BB134,1)*Source!I134),2)+ROUND((Source!CQ134/IF(Source!BC134&lt;&gt;0,Source!BC134,1)*Source!I134),2)+ROUND((Source!CT134/IF(Source!BA134&lt;&gt;0,Source!BA134,1)*Source!I134),2)),0)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Q187">
        <f>IF(Source!BI134=3,(ROUND((Source!CR134/IF(Source!BB134&lt;&gt;0,Source!BB134,1)*Source!I134),2)+ROUND((Source!CQ134/IF(Source!BC134&lt;&gt;0,Source!BC134,1)*Source!I134),2)+ROUND((Source!CT134/IF(Source!BA134&lt;&gt;0,Source!BA134,1)*Source!I134),2)),0)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R187">
        <f>IF(Source!BI134=4,(ROUND((Source!CR134/IF(Source!BB134&lt;&gt;0,Source!BB134,1)*Source!I134),2)+ROUND((Source!CQ134/IF(Source!BC134&lt;&gt;0,Source!BC134,1)*Source!I134),2)+ROUND((Source!CT134/IF(Source!BA134&lt;&gt;0,Source!BA134,1)*Source!I134),2)),0)</f>
        <v>0</v>
      </c>
      <c r="S187">
        <f>IF(Source!BI134=1,Source!O134+Source!X134+Source!Y134,0)</f>
        <v>65828.44</v>
      </c>
      <c r="T187">
        <f>IF(Source!BI134=2,Source!O134+Source!X134+Source!Y134,0)</f>
        <v>0</v>
      </c>
      <c r="U187">
        <f>IF(Source!BI134=3,Source!O134+Source!X134+Source!Y134,0)</f>
        <v>0</v>
      </c>
      <c r="V187">
        <f>IF(Source!BI134=4,Source!O134+Source!X134+Source!Y134,0)</f>
        <v>0</v>
      </c>
      <c r="W187">
        <f>ROUND((Source!CS134/IF(Source!BS134&lt;&gt;0,Source!BS134,1)*Source!I134),2)</f>
        <v>0</v>
      </c>
      <c r="X187">
        <f>ROUND((Source!FX134/100)*(ROUND((Source!CT134/IF(Source!BA134&lt;&gt;0,Source!BA134,1)*Source!I134),2)+ROUND((Source!CS134/IF(Source!BS134&lt;&gt;0,Source!BS134,1)*Source!I134),2)),2)</f>
        <v>0</v>
      </c>
      <c r="Y187">
        <f>ROUND((Source!FY134/100)*(ROUND((Source!CT134/IF(Source!BA134&lt;&gt;0,Source!BA134,1)*Source!I134),2)+ROUND((Source!CS134/IF(Source!BS134&lt;&gt;0,Source!BS134,1)*Source!I134),2)),2)</f>
        <v>0</v>
      </c>
    </row>
    <row r="188" spans="1:23" ht="15.75">
      <c r="A188" s="14"/>
      <c r="B188" s="14"/>
      <c r="C188" s="14"/>
      <c r="D188" s="14"/>
      <c r="E188" s="14"/>
      <c r="F188" s="14"/>
      <c r="G188" s="14"/>
      <c r="H188" s="38">
        <f>ROUND((Source!CT133/IF(Source!BA133&lt;&gt;0,Source!BA133,1)*Source!I133),2)+ROUND((Source!CR133/IF(Source!BB133&lt;&gt;0,Source!BB133,1)*Source!I133),2)+H183+H184+H185+H187</f>
        <v>8397.79</v>
      </c>
      <c r="I188" s="39"/>
      <c r="J188" s="39"/>
      <c r="K188" s="38">
        <f>Source!S133+Source!Q133+K183+K184+K185+K187</f>
        <v>85424.05</v>
      </c>
      <c r="L188" s="38">
        <f>Source!U133</f>
        <v>11.97405</v>
      </c>
      <c r="M188" s="33">
        <f>H188</f>
        <v>8397.79</v>
      </c>
      <c r="N188">
        <f>ROUND((Source!CT133/IF(Source!BA133&lt;&gt;0,Source!BA133,1)*Source!I133),2)</f>
        <v>96.87</v>
      </c>
      <c r="O188">
        <f>IF(Source!BI133=1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2296.9112265</v>
      </c>
      <c r="P188">
        <f>IF(Source!BI133=2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Q188">
        <f>IF(Source!BI133=3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R188">
        <f>IF(Source!BI133=4,((((Source!CT133/IF(Source!BA133&lt;&gt;0,Source!BA133,1)*Source!I133)+(Source!CR133/IF(Source!BB133&lt;&gt;0,Source!BB133,1)*Source!I133)+(Source!CQ133/IF(Source!BC133&lt;&gt;0,Source!BC133,1)*Source!I133))+((Source!FX133/100)*((Source!CT133/IF(Source!BA133&lt;&gt;0,Source!BA133,1)*Source!I133)+(Source!CS133/IF(Source!BS133&lt;&gt;0,Source!BS133,1)*Source!I133)))+((Source!FY133/100)*((Source!CT133/IF(Source!BA133&lt;&gt;0,Source!BA133,1)*Source!I133)+(Source!CS133/IF(Source!BS133&lt;&gt;0,Source!BS133,1)*Source!I133))))),0)</f>
        <v>0</v>
      </c>
      <c r="S188">
        <f>IF(Source!BI133=1,Source!O133+Source!X133+Source!Y133,0)</f>
        <v>19595.61</v>
      </c>
      <c r="T188">
        <f>IF(Source!BI133=2,Source!O133+Source!X133+Source!Y133,0)</f>
        <v>0</v>
      </c>
      <c r="U188">
        <f>IF(Source!BI133=3,Source!O133+Source!X133+Source!Y133,0)</f>
        <v>0</v>
      </c>
      <c r="V188">
        <f>IF(Source!BI133=4,Source!O133+Source!X133+Source!Y133,0)</f>
        <v>0</v>
      </c>
      <c r="W188">
        <f>ROUND((Source!CS133/IF(Source!BS133&lt;&gt;0,Source!BS133,1)*Source!I133),2)</f>
        <v>139.09</v>
      </c>
    </row>
    <row r="189" spans="1:12" ht="90">
      <c r="A189" s="29" t="str">
        <f>Source!E135</f>
        <v>15</v>
      </c>
      <c r="B189" s="29" t="str">
        <f>Source!F135</f>
        <v>27-06-020-1</v>
      </c>
      <c r="C189" s="30" t="str">
        <f>Source!G135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D189" s="31" t="str">
        <f>Source!H135</f>
        <v>1000 м2</v>
      </c>
      <c r="E189" s="14">
        <f>ROUND(Source!I135,6)</f>
        <v>0.33</v>
      </c>
      <c r="F189" s="16">
        <f>IF(Source!AK135&lt;&gt;0,Source!AK135,Source!AL135+Source!AM135+Source!AO135)</f>
        <v>54732.409999999996</v>
      </c>
      <c r="G189" s="14"/>
      <c r="H189" s="14"/>
      <c r="I189" s="32" t="str">
        <f>IF(Source!BO135&lt;&gt;"",Source!BO135,"")</f>
        <v>27-06-020-1</v>
      </c>
      <c r="J189" s="14"/>
      <c r="K189" s="14"/>
      <c r="L189" s="14"/>
    </row>
    <row r="190" spans="1:12" ht="15">
      <c r="A190" s="14"/>
      <c r="B190" s="14"/>
      <c r="C190" s="14" t="s">
        <v>391</v>
      </c>
      <c r="D190" s="14"/>
      <c r="E190" s="14"/>
      <c r="F190" s="16">
        <f>Source!AO135</f>
        <v>368.45</v>
      </c>
      <c r="G190" s="32">
        <f>Source!DG135</f>
      </c>
      <c r="H190" s="16">
        <f>ROUND((Source!CT135/IF(Source!BA135&lt;&gt;0,Source!BA135,1)*Source!I135),2)</f>
        <v>121.59</v>
      </c>
      <c r="I190" s="14"/>
      <c r="J190" s="14">
        <f>Source!BA135</f>
        <v>17.84</v>
      </c>
      <c r="K190" s="16">
        <f>Source!S135</f>
        <v>2169.14</v>
      </c>
      <c r="L190" s="14"/>
    </row>
    <row r="191" spans="1:12" ht="15">
      <c r="A191" s="14"/>
      <c r="B191" s="14"/>
      <c r="C191" s="14" t="s">
        <v>58</v>
      </c>
      <c r="D191" s="14"/>
      <c r="E191" s="14"/>
      <c r="F191" s="16">
        <f>Source!AM135</f>
        <v>2386.22</v>
      </c>
      <c r="G191" s="32">
        <f>Source!DE135</f>
      </c>
      <c r="H191" s="16">
        <f>ROUND((Source!CR135/IF(Source!BB135&lt;&gt;0,Source!BB135,1)*Source!I135),2)</f>
        <v>787.45</v>
      </c>
      <c r="I191" s="14"/>
      <c r="J191" s="14">
        <f>Source!BB135</f>
        <v>4.93</v>
      </c>
      <c r="K191" s="16">
        <f>Source!Q135</f>
        <v>3882.14</v>
      </c>
      <c r="L191" s="14"/>
    </row>
    <row r="192" spans="1:12" ht="15">
      <c r="A192" s="14"/>
      <c r="B192" s="14"/>
      <c r="C192" s="14" t="s">
        <v>396</v>
      </c>
      <c r="D192" s="14"/>
      <c r="E192" s="14"/>
      <c r="F192" s="16">
        <f>Source!AN135</f>
        <v>262.54</v>
      </c>
      <c r="G192" s="32">
        <f>Source!DF135</f>
      </c>
      <c r="H192" s="40">
        <f>ROUND((Source!CS135/IF(Source!BS135&lt;&gt;0,Source!BS135,1)*Source!I135),2)</f>
        <v>86.64</v>
      </c>
      <c r="I192" s="14"/>
      <c r="J192" s="14">
        <f>Source!BS135</f>
        <v>17.84</v>
      </c>
      <c r="K192" s="40">
        <f>Source!R135</f>
        <v>1545.63</v>
      </c>
      <c r="L192" s="14"/>
    </row>
    <row r="193" spans="1:12" ht="15">
      <c r="A193" s="14"/>
      <c r="B193" s="14"/>
      <c r="C193" s="14" t="s">
        <v>397</v>
      </c>
      <c r="D193" s="14"/>
      <c r="E193" s="14"/>
      <c r="F193" s="16">
        <f>Source!AL135</f>
        <v>51977.74</v>
      </c>
      <c r="G193" s="32">
        <f>Source!DD135</f>
      </c>
      <c r="H193" s="16">
        <f>ROUND((Source!CQ135/IF(Source!BC135&lt;&gt;0,Source!BC135,1)*Source!I135),2)</f>
        <v>17152.65</v>
      </c>
      <c r="I193" s="14"/>
      <c r="J193" s="14">
        <f>Source!BC135</f>
        <v>4.74</v>
      </c>
      <c r="K193" s="16">
        <f>Source!P135</f>
        <v>81303.58</v>
      </c>
      <c r="L193" s="14"/>
    </row>
    <row r="194" spans="1:24" ht="15">
      <c r="A194" s="14"/>
      <c r="B194" s="14"/>
      <c r="C194" s="14" t="s">
        <v>392</v>
      </c>
      <c r="D194" s="17" t="s">
        <v>393</v>
      </c>
      <c r="E194" s="14"/>
      <c r="F194" s="16">
        <f>Source!BZ135</f>
        <v>142</v>
      </c>
      <c r="G194" s="14"/>
      <c r="H194" s="16">
        <f>X194</f>
        <v>295.69</v>
      </c>
      <c r="I194" s="14" t="str">
        <f>Source!FV135</f>
        <v>((*0.85))</v>
      </c>
      <c r="J194" s="16">
        <f>Source!AT135</f>
        <v>121</v>
      </c>
      <c r="K194" s="16">
        <f>Source!X135</f>
        <v>4494.87</v>
      </c>
      <c r="L194" s="14"/>
      <c r="X194">
        <f>ROUND((Source!FX135/100)*(ROUND((Source!CT135/IF(Source!BA135&lt;&gt;0,Source!BA135,1)*Source!I135),2)+ROUND((Source!CS135/IF(Source!BS135&lt;&gt;0,Source!BS135,1)*Source!I135),2)),2)</f>
        <v>295.69</v>
      </c>
    </row>
    <row r="195" spans="1:25" ht="15">
      <c r="A195" s="14"/>
      <c r="B195" s="14"/>
      <c r="C195" s="14" t="s">
        <v>74</v>
      </c>
      <c r="D195" s="17" t="s">
        <v>393</v>
      </c>
      <c r="E195" s="14"/>
      <c r="F195" s="16">
        <f>Source!CA135</f>
        <v>95</v>
      </c>
      <c r="G195" s="14" t="str">
        <f>Source!FU135</f>
        <v>*0.85</v>
      </c>
      <c r="H195" s="16">
        <f>Y195</f>
        <v>168.15</v>
      </c>
      <c r="I195" s="14" t="str">
        <f>Source!FW135</f>
        <v>((*0.8))</v>
      </c>
      <c r="J195" s="16">
        <f>Source!AU135</f>
        <v>65</v>
      </c>
      <c r="K195" s="16">
        <f>Source!Y135</f>
        <v>2414.6</v>
      </c>
      <c r="L195" s="14"/>
      <c r="Y195">
        <f>ROUND((Source!FY135/100)*(ROUND((Source!CT135/IF(Source!BA135&lt;&gt;0,Source!BA135,1)*Source!I135),2)+ROUND((Source!CS135/IF(Source!BS135&lt;&gt;0,Source!BS135,1)*Source!I135),2)),2)</f>
        <v>168.15</v>
      </c>
    </row>
    <row r="196" spans="1:12" ht="15">
      <c r="A196" s="34"/>
      <c r="B196" s="34"/>
      <c r="C196" s="34" t="s">
        <v>394</v>
      </c>
      <c r="D196" s="35" t="s">
        <v>395</v>
      </c>
      <c r="E196" s="34">
        <f>Source!AQ135</f>
        <v>38.3</v>
      </c>
      <c r="F196" s="34"/>
      <c r="G196" s="36">
        <f>Source!DI135</f>
      </c>
      <c r="H196" s="34"/>
      <c r="I196" s="34"/>
      <c r="J196" s="34"/>
      <c r="K196" s="34"/>
      <c r="L196" s="37">
        <f>Source!U135</f>
        <v>12.639</v>
      </c>
    </row>
    <row r="197" spans="1:23" ht="15.75">
      <c r="A197" s="14"/>
      <c r="B197" s="14"/>
      <c r="C197" s="14"/>
      <c r="D197" s="14"/>
      <c r="E197" s="14"/>
      <c r="F197" s="14"/>
      <c r="G197" s="14"/>
      <c r="H197" s="38">
        <f>ROUND((Source!CT135/IF(Source!BA135&lt;&gt;0,Source!BA135,1)*Source!I135),2)+ROUND((Source!CR135/IF(Source!BB135&lt;&gt;0,Source!BB135,1)*Source!I135),2)+H193+H194+H195</f>
        <v>18525.530000000002</v>
      </c>
      <c r="I197" s="39"/>
      <c r="J197" s="39"/>
      <c r="K197" s="38">
        <f>Source!S135+Source!Q135+K193+K194+K195</f>
        <v>94264.33</v>
      </c>
      <c r="L197" s="38">
        <f>Source!U135</f>
        <v>12.639</v>
      </c>
      <c r="M197" s="33">
        <f>H197</f>
        <v>18525.530000000002</v>
      </c>
      <c r="N197">
        <f>ROUND((Source!CT135/IF(Source!BA135&lt;&gt;0,Source!BA135,1)*Source!I135),2)</f>
        <v>121.59</v>
      </c>
      <c r="O197">
        <f>IF(Source!BI135=1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18525.52027425</v>
      </c>
      <c r="P197">
        <f>IF(Source!BI135=2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Q197">
        <f>IF(Source!BI135=3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R197">
        <f>IF(Source!BI135=4,((((Source!CT135/IF(Source!BA135&lt;&gt;0,Source!BA135,1)*Source!I135)+(Source!CR135/IF(Source!BB135&lt;&gt;0,Source!BB135,1)*Source!I135)+(Source!CQ135/IF(Source!BC135&lt;&gt;0,Source!BC135,1)*Source!I135))+((Source!FX135/100)*((Source!CT135/IF(Source!BA135&lt;&gt;0,Source!BA135,1)*Source!I135)+(Source!CS135/IF(Source!BS135&lt;&gt;0,Source!BS135,1)*Source!I135)))+((Source!FY135/100)*((Source!CT135/IF(Source!BA135&lt;&gt;0,Source!BA135,1)*Source!I135)+(Source!CS135/IF(Source!BS135&lt;&gt;0,Source!BS135,1)*Source!I135))))),0)</f>
        <v>0</v>
      </c>
      <c r="S197">
        <f>IF(Source!BI135=1,Source!O135+Source!X135+Source!Y135,0)</f>
        <v>94264.33</v>
      </c>
      <c r="T197">
        <f>IF(Source!BI135=2,Source!O135+Source!X135+Source!Y135,0)</f>
        <v>0</v>
      </c>
      <c r="U197">
        <f>IF(Source!BI135=3,Source!O135+Source!X135+Source!Y135,0)</f>
        <v>0</v>
      </c>
      <c r="V197">
        <f>IF(Source!BI135=4,Source!O135+Source!X135+Source!Y135,0)</f>
        <v>0</v>
      </c>
      <c r="W197">
        <f>ROUND((Source!CS135/IF(Source!BS135&lt;&gt;0,Source!BS135,1)*Source!I135),2)</f>
        <v>86.64</v>
      </c>
    </row>
    <row r="198" spans="1:12" ht="60">
      <c r="A198" s="29" t="str">
        <f>Source!E136</f>
        <v>16</v>
      </c>
      <c r="B198" s="29" t="str">
        <f>Source!F136</f>
        <v>27-06-021-1</v>
      </c>
      <c r="C198" s="30" t="str">
        <f>Source!G136</f>
        <v>На каждые 0,5 см изменения толщины покрытия добавлять или исключать к расценке 27-06-020-01</v>
      </c>
      <c r="D198" s="31" t="str">
        <f>Source!H136</f>
        <v>1000 м2</v>
      </c>
      <c r="E198" s="14">
        <f>ROUND(Source!I136,6)</f>
        <v>0.33</v>
      </c>
      <c r="F198" s="16">
        <f>IF(Source!AK136&lt;&gt;0,Source!AK136,Source!AL136+Source!AM136+Source!AO136)</f>
        <v>6485.89</v>
      </c>
      <c r="G198" s="14"/>
      <c r="H198" s="14"/>
      <c r="I198" s="32" t="str">
        <f>IF(Source!BO136&lt;&gt;"",Source!BO136,"")</f>
        <v>27-06-021-1</v>
      </c>
      <c r="J198" s="14"/>
      <c r="K198" s="14"/>
      <c r="L198" s="14"/>
    </row>
    <row r="199" spans="1:12" ht="15">
      <c r="A199" s="14"/>
      <c r="B199" s="14"/>
      <c r="C199" s="14" t="s">
        <v>391</v>
      </c>
      <c r="D199" s="14"/>
      <c r="E199" s="14"/>
      <c r="F199" s="16">
        <f>Source!AO136</f>
        <v>0.87</v>
      </c>
      <c r="G199" s="32" t="str">
        <f>Source!DG136</f>
        <v>)*2</v>
      </c>
      <c r="H199" s="16">
        <f>ROUND((Source!CT136/IF(Source!BA136&lt;&gt;0,Source!BA136,1)*Source!I136),2)</f>
        <v>0.57</v>
      </c>
      <c r="I199" s="14"/>
      <c r="J199" s="14">
        <f>Source!BA136</f>
        <v>17.84</v>
      </c>
      <c r="K199" s="16">
        <f>Source!S136</f>
        <v>10.24</v>
      </c>
      <c r="L199" s="14"/>
    </row>
    <row r="200" spans="1:12" ht="15">
      <c r="A200" s="14"/>
      <c r="B200" s="14"/>
      <c r="C200" s="14" t="s">
        <v>58</v>
      </c>
      <c r="D200" s="14"/>
      <c r="E200" s="14"/>
      <c r="F200" s="16">
        <f>Source!AM136</f>
        <v>3.1</v>
      </c>
      <c r="G200" s="32" t="str">
        <f>Source!DE136</f>
        <v>)*2</v>
      </c>
      <c r="H200" s="16">
        <f>ROUND((Source!CR136/IF(Source!BB136&lt;&gt;0,Source!BB136,1)*Source!I136),2)</f>
        <v>2.05</v>
      </c>
      <c r="I200" s="14"/>
      <c r="J200" s="14">
        <f>Source!BB136</f>
        <v>4.07</v>
      </c>
      <c r="K200" s="16">
        <f>Source!Q136</f>
        <v>8.33</v>
      </c>
      <c r="L200" s="14"/>
    </row>
    <row r="201" spans="1:12" ht="15">
      <c r="A201" s="14"/>
      <c r="B201" s="14"/>
      <c r="C201" s="14" t="s">
        <v>397</v>
      </c>
      <c r="D201" s="14"/>
      <c r="E201" s="14"/>
      <c r="F201" s="16">
        <f>Source!AL136</f>
        <v>6481.92</v>
      </c>
      <c r="G201" s="32" t="str">
        <f>Source!DD136</f>
        <v>)*2</v>
      </c>
      <c r="H201" s="16">
        <f>ROUND((Source!CQ136/IF(Source!BC136&lt;&gt;0,Source!BC136,1)*Source!I136),2)</f>
        <v>4278.07</v>
      </c>
      <c r="I201" s="14"/>
      <c r="J201" s="14">
        <f>Source!BC136</f>
        <v>4.74</v>
      </c>
      <c r="K201" s="16">
        <f>Source!P136</f>
        <v>20278.04</v>
      </c>
      <c r="L201" s="14"/>
    </row>
    <row r="202" spans="1:24" ht="15">
      <c r="A202" s="14"/>
      <c r="B202" s="14"/>
      <c r="C202" s="14" t="s">
        <v>392</v>
      </c>
      <c r="D202" s="17" t="s">
        <v>393</v>
      </c>
      <c r="E202" s="14"/>
      <c r="F202" s="16">
        <f>Source!BZ136</f>
        <v>142</v>
      </c>
      <c r="G202" s="14"/>
      <c r="H202" s="16">
        <f>X202</f>
        <v>0.81</v>
      </c>
      <c r="I202" s="14" t="str">
        <f>Source!FV136</f>
        <v>((*0.85))</v>
      </c>
      <c r="J202" s="16">
        <f>Source!AT136</f>
        <v>121</v>
      </c>
      <c r="K202" s="16">
        <f>Source!X136</f>
        <v>12.39</v>
      </c>
      <c r="L202" s="14"/>
      <c r="X202">
        <f>ROUND((Source!FX136/100)*(ROUND((Source!CT136/IF(Source!BA136&lt;&gt;0,Source!BA136,1)*Source!I136),2)+ROUND((Source!CS136/IF(Source!BS136&lt;&gt;0,Source!BS136,1)*Source!I136),2)),2)</f>
        <v>0.81</v>
      </c>
    </row>
    <row r="203" spans="1:25" ht="15">
      <c r="A203" s="14"/>
      <c r="B203" s="14"/>
      <c r="C203" s="14" t="s">
        <v>74</v>
      </c>
      <c r="D203" s="17" t="s">
        <v>393</v>
      </c>
      <c r="E203" s="14"/>
      <c r="F203" s="16">
        <f>Source!CA136</f>
        <v>95</v>
      </c>
      <c r="G203" s="14" t="str">
        <f>Source!FU136</f>
        <v>*0.85</v>
      </c>
      <c r="H203" s="16">
        <f>Y203</f>
        <v>0.46</v>
      </c>
      <c r="I203" s="14" t="str">
        <f>Source!FW136</f>
        <v>((*0.8))</v>
      </c>
      <c r="J203" s="16">
        <f>Source!AU136</f>
        <v>65</v>
      </c>
      <c r="K203" s="16">
        <f>Source!Y136</f>
        <v>6.66</v>
      </c>
      <c r="L203" s="14"/>
      <c r="Y203">
        <f>ROUND((Source!FY136/100)*(ROUND((Source!CT136/IF(Source!BA136&lt;&gt;0,Source!BA136,1)*Source!I136),2)+ROUND((Source!CS136/IF(Source!BS136&lt;&gt;0,Source!BS136,1)*Source!I136),2)),2)</f>
        <v>0.46</v>
      </c>
    </row>
    <row r="204" spans="1:12" ht="15">
      <c r="A204" s="34"/>
      <c r="B204" s="34"/>
      <c r="C204" s="34" t="s">
        <v>394</v>
      </c>
      <c r="D204" s="35" t="s">
        <v>395</v>
      </c>
      <c r="E204" s="34">
        <f>Source!AQ136</f>
        <v>0.09</v>
      </c>
      <c r="F204" s="34"/>
      <c r="G204" s="36" t="str">
        <f>Source!DI136</f>
        <v>)*2</v>
      </c>
      <c r="H204" s="34"/>
      <c r="I204" s="34"/>
      <c r="J204" s="34"/>
      <c r="K204" s="34"/>
      <c r="L204" s="37">
        <f>Source!U136</f>
        <v>0.0594</v>
      </c>
    </row>
    <row r="205" spans="1:23" ht="15.75">
      <c r="A205" s="14"/>
      <c r="B205" s="14"/>
      <c r="C205" s="14"/>
      <c r="D205" s="14"/>
      <c r="E205" s="14"/>
      <c r="F205" s="14"/>
      <c r="G205" s="14"/>
      <c r="H205" s="38">
        <f>ROUND((Source!CT136/IF(Source!BA136&lt;&gt;0,Source!BA136,1)*Source!I136),2)+ROUND((Source!CR136/IF(Source!BB136&lt;&gt;0,Source!BB136,1)*Source!I136),2)+H201+H202+H203</f>
        <v>4281.96</v>
      </c>
      <c r="I205" s="39"/>
      <c r="J205" s="39"/>
      <c r="K205" s="38">
        <f>Source!S136+Source!Q136+K201+K202+K203</f>
        <v>20315.66</v>
      </c>
      <c r="L205" s="38">
        <f>Source!U136</f>
        <v>0.0594</v>
      </c>
      <c r="M205" s="33">
        <f>H205</f>
        <v>4281.96</v>
      </c>
      <c r="N205">
        <f>ROUND((Source!CT136/IF(Source!BA136&lt;&gt;0,Source!BA136,1)*Source!I136),2)</f>
        <v>0.57</v>
      </c>
      <c r="O205">
        <f>IF(Source!BI136=1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4281.966430500001</v>
      </c>
      <c r="P205">
        <f>IF(Source!BI136=2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Q205">
        <f>IF(Source!BI136=3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R205">
        <f>IF(Source!BI136=4,((((Source!CT136/IF(Source!BA136&lt;&gt;0,Source!BA136,1)*Source!I136)+(Source!CR136/IF(Source!BB136&lt;&gt;0,Source!BB136,1)*Source!I136)+(Source!CQ136/IF(Source!BC136&lt;&gt;0,Source!BC136,1)*Source!I136))+((Source!FX136/100)*((Source!CT136/IF(Source!BA136&lt;&gt;0,Source!BA136,1)*Source!I136)+(Source!CS136/IF(Source!BS136&lt;&gt;0,Source!BS136,1)*Source!I136)))+((Source!FY136/100)*((Source!CT136/IF(Source!BA136&lt;&gt;0,Source!BA136,1)*Source!I136)+(Source!CS136/IF(Source!BS136&lt;&gt;0,Source!BS136,1)*Source!I136))))),0)</f>
        <v>0</v>
      </c>
      <c r="S205">
        <f>IF(Source!BI136=1,Source!O136+Source!X136+Source!Y136,0)</f>
        <v>20315.66</v>
      </c>
      <c r="T205">
        <f>IF(Source!BI136=2,Source!O136+Source!X136+Source!Y136,0)</f>
        <v>0</v>
      </c>
      <c r="U205">
        <f>IF(Source!BI136=3,Source!O136+Source!X136+Source!Y136,0)</f>
        <v>0</v>
      </c>
      <c r="V205">
        <f>IF(Source!BI136=4,Source!O136+Source!X136+Source!Y136,0)</f>
        <v>0</v>
      </c>
      <c r="W205">
        <f>ROUND((Source!CS136/IF(Source!BS136&lt;&gt;0,Source!BS136,1)*Source!I136),2)</f>
        <v>0</v>
      </c>
    </row>
    <row r="207" spans="3:23" s="39" customFormat="1" ht="15.75">
      <c r="C207" s="39" t="s">
        <v>176</v>
      </c>
      <c r="G207" s="107">
        <f>SUM(M179:M206)</f>
        <v>31205.280000000002</v>
      </c>
      <c r="H207" s="107"/>
      <c r="J207" s="107">
        <f>ROUND(Source!AB131+Source!AK131+Source!AL131+Source!AE131*0/100,2)</f>
        <v>200004.04</v>
      </c>
      <c r="K207" s="107"/>
      <c r="L207" s="38">
        <f>Source!AH131</f>
        <v>24.67</v>
      </c>
      <c r="N207" s="38">
        <f aca="true" t="shared" si="4" ref="N207:W207">SUM(N179:N206)</f>
        <v>219.03</v>
      </c>
      <c r="O207" s="38">
        <f t="shared" si="4"/>
        <v>31205.277931250002</v>
      </c>
      <c r="P207" s="38">
        <f t="shared" si="4"/>
        <v>0</v>
      </c>
      <c r="Q207" s="38">
        <f t="shared" si="4"/>
        <v>0</v>
      </c>
      <c r="R207" s="38">
        <f t="shared" si="4"/>
        <v>0</v>
      </c>
      <c r="S207" s="38">
        <f t="shared" si="4"/>
        <v>200004.04</v>
      </c>
      <c r="T207" s="38">
        <f t="shared" si="4"/>
        <v>0</v>
      </c>
      <c r="U207" s="38">
        <f t="shared" si="4"/>
        <v>0</v>
      </c>
      <c r="V207" s="38">
        <f t="shared" si="4"/>
        <v>0</v>
      </c>
      <c r="W207" s="39">
        <f t="shared" si="4"/>
        <v>225.73000000000002</v>
      </c>
    </row>
    <row r="209" spans="3:30" ht="18">
      <c r="C209" s="26" t="s">
        <v>390</v>
      </c>
      <c r="D209" s="106" t="str">
        <f>IF(Source!C12="1",Source!F154,Source!G154)</f>
        <v>Устройство тротуара</v>
      </c>
      <c r="E209" s="108"/>
      <c r="F209" s="108"/>
      <c r="G209" s="108"/>
      <c r="H209" s="108"/>
      <c r="I209" s="108"/>
      <c r="J209" s="108"/>
      <c r="K209" s="108"/>
      <c r="L209" s="108"/>
      <c r="AD209" s="28" t="str">
        <f>IF(Source!C12="1",Source!F154,Source!G154)</f>
        <v>Устройство тротуара</v>
      </c>
    </row>
    <row r="211" spans="1:12" ht="75">
      <c r="A211" s="29" t="str">
        <f>Source!E158</f>
        <v>17</v>
      </c>
      <c r="B211" s="29" t="str">
        <f>Source!F158</f>
        <v>01-01-013-14</v>
      </c>
      <c r="C211" s="30" t="str">
        <f>Source!G158</f>
        <v>Разработка грунта с погрузкой на автомобили-самосвалы экскаваторами с ковшом вместимостью 0,5 (0,5-0,63) м3, группа грунтов 2</v>
      </c>
      <c r="D211" s="31" t="str">
        <f>Source!H158</f>
        <v>1000 м3</v>
      </c>
      <c r="E211" s="14">
        <f>ROUND(Source!I158,6)</f>
        <v>0.04641</v>
      </c>
      <c r="F211" s="16">
        <f>IF(Source!AK158&lt;&gt;0,Source!AK158,Source!AL158+Source!AM158+Source!AO158)</f>
        <v>4277.16</v>
      </c>
      <c r="G211" s="14"/>
      <c r="H211" s="14"/>
      <c r="I211" s="32" t="str">
        <f>IF(Source!BO158&lt;&gt;"",Source!BO158,"")</f>
        <v>01-01-013-14</v>
      </c>
      <c r="J211" s="14"/>
      <c r="K211" s="14"/>
      <c r="L211" s="14"/>
    </row>
    <row r="212" spans="1:12" ht="15">
      <c r="A212" s="14"/>
      <c r="B212" s="14"/>
      <c r="C212" s="14" t="s">
        <v>391</v>
      </c>
      <c r="D212" s="14"/>
      <c r="E212" s="14"/>
      <c r="F212" s="16">
        <f>Source!AO158</f>
        <v>117.62</v>
      </c>
      <c r="G212" s="32">
        <f>Source!DG158</f>
      </c>
      <c r="H212" s="16">
        <f>ROUND((Source!CT158/IF(Source!BA158&lt;&gt;0,Source!BA158,1)*Source!I158),2)</f>
        <v>5.46</v>
      </c>
      <c r="I212" s="14"/>
      <c r="J212" s="14">
        <f>Source!BA158</f>
        <v>17.63</v>
      </c>
      <c r="K212" s="16">
        <f>Source!S158</f>
        <v>96.24</v>
      </c>
      <c r="L212" s="14"/>
    </row>
    <row r="213" spans="1:12" ht="15">
      <c r="A213" s="14"/>
      <c r="B213" s="14"/>
      <c r="C213" s="14" t="s">
        <v>58</v>
      </c>
      <c r="D213" s="14"/>
      <c r="E213" s="14"/>
      <c r="F213" s="16">
        <f>Source!AM158</f>
        <v>4155.2</v>
      </c>
      <c r="G213" s="32">
        <f>Source!DE158</f>
      </c>
      <c r="H213" s="16">
        <f>ROUND((Source!CR158/IF(Source!BB158&lt;&gt;0,Source!BB158,1)*Source!I158),2)</f>
        <v>192.84</v>
      </c>
      <c r="I213" s="14"/>
      <c r="J213" s="14">
        <f>Source!BB158</f>
        <v>8.67</v>
      </c>
      <c r="K213" s="16">
        <f>Source!Q158</f>
        <v>1671.95</v>
      </c>
      <c r="L213" s="14"/>
    </row>
    <row r="214" spans="1:12" ht="15">
      <c r="A214" s="14"/>
      <c r="B214" s="14"/>
      <c r="C214" s="14" t="s">
        <v>396</v>
      </c>
      <c r="D214" s="14"/>
      <c r="E214" s="14"/>
      <c r="F214" s="16">
        <f>Source!AN158</f>
        <v>598.18</v>
      </c>
      <c r="G214" s="32">
        <f>Source!DF158</f>
      </c>
      <c r="H214" s="40">
        <f>ROUND((Source!CS158/IF(Source!BS158&lt;&gt;0,Source!BS158,1)*Source!I158),2)</f>
        <v>27.76</v>
      </c>
      <c r="I214" s="14"/>
      <c r="J214" s="14">
        <f>Source!BS158</f>
        <v>17.63</v>
      </c>
      <c r="K214" s="40">
        <f>Source!R158</f>
        <v>489.44</v>
      </c>
      <c r="L214" s="14"/>
    </row>
    <row r="215" spans="1:12" ht="15">
      <c r="A215" s="14"/>
      <c r="B215" s="14"/>
      <c r="C215" s="14" t="s">
        <v>397</v>
      </c>
      <c r="D215" s="14"/>
      <c r="E215" s="14"/>
      <c r="F215" s="16">
        <f>Source!AL158</f>
        <v>4.34</v>
      </c>
      <c r="G215" s="32">
        <f>Source!DD158</f>
      </c>
      <c r="H215" s="16">
        <f>ROUND((Source!CQ158/IF(Source!BC158&lt;&gt;0,Source!BC158,1)*Source!I158),2)</f>
        <v>0.2</v>
      </c>
      <c r="I215" s="14"/>
      <c r="J215" s="14">
        <f>Source!BC158</f>
        <v>11.94</v>
      </c>
      <c r="K215" s="16">
        <f>Source!P158</f>
        <v>2.4</v>
      </c>
      <c r="L215" s="14"/>
    </row>
    <row r="216" spans="1:24" ht="15">
      <c r="A216" s="14"/>
      <c r="B216" s="14"/>
      <c r="C216" s="14" t="s">
        <v>392</v>
      </c>
      <c r="D216" s="17" t="s">
        <v>393</v>
      </c>
      <c r="E216" s="14"/>
      <c r="F216" s="16">
        <f>Source!BZ158</f>
        <v>95</v>
      </c>
      <c r="G216" s="14"/>
      <c r="H216" s="16">
        <f>X216</f>
        <v>31.56</v>
      </c>
      <c r="I216" s="14" t="str">
        <f>Source!FV158</f>
        <v>((*0.85))</v>
      </c>
      <c r="J216" s="16">
        <f>Source!AT158</f>
        <v>81</v>
      </c>
      <c r="K216" s="16">
        <f>Source!X158</f>
        <v>474.4</v>
      </c>
      <c r="L216" s="14"/>
      <c r="X216">
        <f>ROUND((Source!FX158/100)*(ROUND((Source!CT158/IF(Source!BA158&lt;&gt;0,Source!BA158,1)*Source!I158),2)+ROUND((Source!CS158/IF(Source!BS158&lt;&gt;0,Source!BS158,1)*Source!I158),2)),2)</f>
        <v>31.56</v>
      </c>
    </row>
    <row r="217" spans="1:25" ht="15">
      <c r="A217" s="14"/>
      <c r="B217" s="14"/>
      <c r="C217" s="14" t="s">
        <v>74</v>
      </c>
      <c r="D217" s="17" t="s">
        <v>393</v>
      </c>
      <c r="E217" s="14"/>
      <c r="F217" s="16">
        <f>Source!CA158</f>
        <v>50</v>
      </c>
      <c r="G217" s="14" t="str">
        <f>Source!FU158</f>
        <v>*0.85</v>
      </c>
      <c r="H217" s="16">
        <f>Y217</f>
        <v>14.12</v>
      </c>
      <c r="I217" s="14" t="str">
        <f>Source!FW158</f>
        <v>((*0.8))</v>
      </c>
      <c r="J217" s="16">
        <f>Source!AU158</f>
        <v>34</v>
      </c>
      <c r="K217" s="16">
        <f>Source!Y158</f>
        <v>199.13</v>
      </c>
      <c r="L217" s="14"/>
      <c r="Y217">
        <f>ROUND((Source!FY158/100)*(ROUND((Source!CT158/IF(Source!BA158&lt;&gt;0,Source!BA158,1)*Source!I158),2)+ROUND((Source!CS158/IF(Source!BS158&lt;&gt;0,Source!BS158,1)*Source!I158),2)),2)</f>
        <v>14.12</v>
      </c>
    </row>
    <row r="218" spans="1:12" ht="15">
      <c r="A218" s="34"/>
      <c r="B218" s="34"/>
      <c r="C218" s="34" t="s">
        <v>394</v>
      </c>
      <c r="D218" s="35" t="s">
        <v>395</v>
      </c>
      <c r="E218" s="34">
        <f>Source!AQ158</f>
        <v>15.08</v>
      </c>
      <c r="F218" s="34"/>
      <c r="G218" s="36">
        <f>Source!DI158</f>
      </c>
      <c r="H218" s="34"/>
      <c r="I218" s="34"/>
      <c r="J218" s="34"/>
      <c r="K218" s="34"/>
      <c r="L218" s="37">
        <f>Source!U158</f>
        <v>0.6998628</v>
      </c>
    </row>
    <row r="219" spans="1:23" ht="15.75">
      <c r="A219" s="14"/>
      <c r="B219" s="14"/>
      <c r="C219" s="14"/>
      <c r="D219" s="14"/>
      <c r="E219" s="14"/>
      <c r="F219" s="14"/>
      <c r="G219" s="14"/>
      <c r="H219" s="38">
        <f>ROUND((Source!CT158/IF(Source!BA158&lt;&gt;0,Source!BA158,1)*Source!I158),2)+ROUND((Source!CR158/IF(Source!BB158&lt;&gt;0,Source!BB158,1)*Source!I158),2)+H215+H216+H217</f>
        <v>244.18</v>
      </c>
      <c r="I219" s="39"/>
      <c r="J219" s="39"/>
      <c r="K219" s="38">
        <f>Source!S158+Source!Q158+K215+K216+K217</f>
        <v>2444.1200000000003</v>
      </c>
      <c r="L219" s="38">
        <f>Source!U158</f>
        <v>0.6998628</v>
      </c>
      <c r="M219" s="33">
        <f>H219</f>
        <v>244.18</v>
      </c>
      <c r="N219">
        <f>ROUND((Source!CT158/IF(Source!BA158&lt;&gt;0,Source!BA158,1)*Source!I158),2)</f>
        <v>5.46</v>
      </c>
      <c r="O219">
        <f>IF(Source!BI158=1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244.18087785</v>
      </c>
      <c r="P219">
        <f>IF(Source!BI158=2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Q219">
        <f>IF(Source!BI158=3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R219">
        <f>IF(Source!BI158=4,((((Source!CT158/IF(Source!BA158&lt;&gt;0,Source!BA158,1)*Source!I158)+(Source!CR158/IF(Source!BB158&lt;&gt;0,Source!BB158,1)*Source!I158)+(Source!CQ158/IF(Source!BC158&lt;&gt;0,Source!BC158,1)*Source!I158))+((Source!FX158/100)*((Source!CT158/IF(Source!BA158&lt;&gt;0,Source!BA158,1)*Source!I158)+(Source!CS158/IF(Source!BS158&lt;&gt;0,Source!BS158,1)*Source!I158)))+((Source!FY158/100)*((Source!CT158/IF(Source!BA158&lt;&gt;0,Source!BA158,1)*Source!I158)+(Source!CS158/IF(Source!BS158&lt;&gt;0,Source!BS158,1)*Source!I158))))),0)</f>
        <v>0</v>
      </c>
      <c r="S219">
        <f>IF(Source!BI158=1,Source!O158+Source!X158+Source!Y158,0)</f>
        <v>2444.12</v>
      </c>
      <c r="T219">
        <f>IF(Source!BI158=2,Source!O158+Source!X158+Source!Y158,0)</f>
        <v>0</v>
      </c>
      <c r="U219">
        <f>IF(Source!BI158=3,Source!O158+Source!X158+Source!Y158,0)</f>
        <v>0</v>
      </c>
      <c r="V219">
        <f>IF(Source!BI158=4,Source!O158+Source!X158+Source!Y158,0)</f>
        <v>0</v>
      </c>
      <c r="W219">
        <f>ROUND((Source!CS158/IF(Source!BS158&lt;&gt;0,Source!BS158,1)*Source!I158),2)</f>
        <v>27.76</v>
      </c>
    </row>
    <row r="220" spans="1:12" ht="30">
      <c r="A220" s="29" t="str">
        <f>Source!E159</f>
        <v>18</v>
      </c>
      <c r="B220" s="29" t="str">
        <f>Source!F159</f>
        <v>Техчасть индексов</v>
      </c>
      <c r="C220" s="30" t="str">
        <f>Source!G159</f>
        <v>Вывоз грунта на 10 км</v>
      </c>
      <c r="D220" s="31" t="str">
        <f>Source!H159</f>
        <v>т</v>
      </c>
      <c r="E220" s="14">
        <f>ROUND(Source!I159,6)</f>
        <v>81</v>
      </c>
      <c r="F220" s="16">
        <f>IF(Source!AK159&lt;&gt;0,Source!AK159,Source!AL159+Source!AM159+Source!AO159)</f>
        <v>14.63</v>
      </c>
      <c r="G220" s="14"/>
      <c r="H220" s="14"/>
      <c r="I220" s="32">
        <f>IF(Source!BO159&lt;&gt;"",Source!BO159,"")</f>
      </c>
      <c r="J220" s="14"/>
      <c r="K220" s="14"/>
      <c r="L220" s="14"/>
    </row>
    <row r="221" spans="1:12" ht="15">
      <c r="A221" s="34"/>
      <c r="B221" s="34"/>
      <c r="C221" s="34" t="s">
        <v>58</v>
      </c>
      <c r="D221" s="34"/>
      <c r="E221" s="34"/>
      <c r="F221" s="37">
        <f>Source!AM159</f>
        <v>14.63</v>
      </c>
      <c r="G221" s="36">
        <f>Source!DE159</f>
      </c>
      <c r="H221" s="37">
        <f>ROUND((Source!CR159/IF(Source!BB159&lt;&gt;0,Source!BB159,1)*Source!I159),2)</f>
        <v>1185.03</v>
      </c>
      <c r="I221" s="34"/>
      <c r="J221" s="34">
        <f>Source!BB159</f>
        <v>5.32</v>
      </c>
      <c r="K221" s="37">
        <f>Source!Q159</f>
        <v>6304.36</v>
      </c>
      <c r="L221" s="34"/>
    </row>
    <row r="222" spans="1:23" ht="15.75">
      <c r="A222" s="14"/>
      <c r="B222" s="14"/>
      <c r="C222" s="14"/>
      <c r="D222" s="14"/>
      <c r="E222" s="14"/>
      <c r="F222" s="14"/>
      <c r="G222" s="14"/>
      <c r="H222" s="38">
        <f>ROUND((Source!CT159/IF(Source!BA159&lt;&gt;0,Source!BA159,1)*Source!I159),2)+ROUND((Source!CR159/IF(Source!BB159&lt;&gt;0,Source!BB159,1)*Source!I159),2)</f>
        <v>1185.03</v>
      </c>
      <c r="I222" s="39"/>
      <c r="J222" s="39"/>
      <c r="K222" s="38">
        <f>Source!S159+Source!Q159</f>
        <v>6304.36</v>
      </c>
      <c r="L222" s="38">
        <f>Source!U159</f>
        <v>0</v>
      </c>
      <c r="M222" s="33">
        <f>H222</f>
        <v>1185.03</v>
      </c>
      <c r="N222">
        <f>ROUND((Source!CT159/IF(Source!BA159&lt;&gt;0,Source!BA159,1)*Source!I159),2)</f>
        <v>0</v>
      </c>
      <c r="O222">
        <f>IF(Source!BI159=1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P222">
        <f>IF(Source!BI159=2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Q222">
        <f>IF(Source!BI159=3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0</v>
      </c>
      <c r="R222">
        <f>IF(Source!BI159=4,((((Source!CT159/IF(Source!BA159&lt;&gt;0,Source!BA159,1)*Source!I159)+(Source!CR159/IF(Source!BB159&lt;&gt;0,Source!BB159,1)*Source!I159)+(Source!CQ159/IF(Source!BC159&lt;&gt;0,Source!BC159,1)*Source!I159))+((Source!FX159/100)*((Source!CT159/IF(Source!BA159&lt;&gt;0,Source!BA159,1)*Source!I159)+(Source!CS159/IF(Source!BS159&lt;&gt;0,Source!BS159,1)*Source!I159)))+((Source!FY159/100)*((Source!CT159/IF(Source!BA159&lt;&gt;0,Source!BA159,1)*Source!I159)+(Source!CS159/IF(Source!BS159&lt;&gt;0,Source!BS159,1)*Source!I159))))),0)</f>
        <v>1185.03</v>
      </c>
      <c r="S222">
        <f>IF(Source!BI159=1,Source!O159+Source!X159+Source!Y159,0)</f>
        <v>0</v>
      </c>
      <c r="T222">
        <f>IF(Source!BI159=2,Source!O159+Source!X159+Source!Y159,0)</f>
        <v>0</v>
      </c>
      <c r="U222">
        <f>IF(Source!BI159=3,Source!O159+Source!X159+Source!Y159,0)</f>
        <v>0</v>
      </c>
      <c r="V222">
        <f>IF(Source!BI159=4,Source!O159+Source!X159+Source!Y159,0)</f>
        <v>6304.36</v>
      </c>
      <c r="W222">
        <f>ROUND((Source!CS159/IF(Source!BS159&lt;&gt;0,Source!BS159,1)*Source!I159),2)</f>
        <v>0</v>
      </c>
    </row>
    <row r="223" spans="1:12" ht="45">
      <c r="A223" s="29" t="str">
        <f>Source!E160</f>
        <v>19</v>
      </c>
      <c r="B223" s="29" t="str">
        <f>Source!F160</f>
        <v>27-04-001-1</v>
      </c>
      <c r="C223" s="30" t="str">
        <f>Source!G160</f>
        <v>Устройство подстилающих и выравнивающих слоев оснований из песка</v>
      </c>
      <c r="D223" s="31" t="str">
        <f>Source!H160</f>
        <v>100 м3</v>
      </c>
      <c r="E223" s="14">
        <f>ROUND(Source!I160,6)</f>
        <v>0.2652</v>
      </c>
      <c r="F223" s="16">
        <f>IF(Source!AK160&lt;&gt;0,Source!AK160,Source!AL160+Source!AM160+Source!AO160)</f>
        <v>2324.46</v>
      </c>
      <c r="G223" s="14"/>
      <c r="H223" s="14"/>
      <c r="I223" s="32" t="str">
        <f>IF(Source!BO160&lt;&gt;"",Source!BO160,"")</f>
        <v>27-04-001-1</v>
      </c>
      <c r="J223" s="14"/>
      <c r="K223" s="14"/>
      <c r="L223" s="14"/>
    </row>
    <row r="224" spans="1:12" ht="15">
      <c r="A224" s="14"/>
      <c r="B224" s="14"/>
      <c r="C224" s="14" t="s">
        <v>391</v>
      </c>
      <c r="D224" s="14"/>
      <c r="E224" s="14"/>
      <c r="F224" s="16">
        <f>Source!AO160</f>
        <v>126.07</v>
      </c>
      <c r="G224" s="32">
        <f>Source!DG160</f>
      </c>
      <c r="H224" s="16">
        <f>ROUND((Source!CT160/IF(Source!BA160&lt;&gt;0,Source!BA160,1)*Source!I160),2)</f>
        <v>33.43</v>
      </c>
      <c r="I224" s="14"/>
      <c r="J224" s="14">
        <f>Source!BA160</f>
        <v>17.84</v>
      </c>
      <c r="K224" s="16">
        <f>Source!S160</f>
        <v>596.46</v>
      </c>
      <c r="L224" s="14"/>
    </row>
    <row r="225" spans="1:12" ht="15">
      <c r="A225" s="14"/>
      <c r="B225" s="14"/>
      <c r="C225" s="14" t="s">
        <v>58</v>
      </c>
      <c r="D225" s="14"/>
      <c r="E225" s="14"/>
      <c r="F225" s="16">
        <f>Source!AM160</f>
        <v>2186.19</v>
      </c>
      <c r="G225" s="32">
        <f>Source!DE160</f>
      </c>
      <c r="H225" s="16">
        <f>ROUND((Source!CR160/IF(Source!BB160&lt;&gt;0,Source!BB160,1)*Source!I160),2)</f>
        <v>579.78</v>
      </c>
      <c r="I225" s="14"/>
      <c r="J225" s="14">
        <f>Source!BB160</f>
        <v>5.79</v>
      </c>
      <c r="K225" s="16">
        <f>Source!Q160</f>
        <v>3356.91</v>
      </c>
      <c r="L225" s="14"/>
    </row>
    <row r="226" spans="1:12" ht="15">
      <c r="A226" s="14"/>
      <c r="B226" s="14"/>
      <c r="C226" s="14" t="s">
        <v>396</v>
      </c>
      <c r="D226" s="14"/>
      <c r="E226" s="14"/>
      <c r="F226" s="16">
        <f>Source!AN160</f>
        <v>177.53</v>
      </c>
      <c r="G226" s="32">
        <f>Source!DF160</f>
      </c>
      <c r="H226" s="40">
        <f>ROUND((Source!CS160/IF(Source!BS160&lt;&gt;0,Source!BS160,1)*Source!I160),2)</f>
        <v>47.08</v>
      </c>
      <c r="I226" s="14"/>
      <c r="J226" s="14">
        <f>Source!BS160</f>
        <v>17.84</v>
      </c>
      <c r="K226" s="40">
        <f>Source!R160</f>
        <v>839.92</v>
      </c>
      <c r="L226" s="14"/>
    </row>
    <row r="227" spans="1:12" ht="15">
      <c r="A227" s="14"/>
      <c r="B227" s="14"/>
      <c r="C227" s="14" t="s">
        <v>397</v>
      </c>
      <c r="D227" s="14"/>
      <c r="E227" s="14"/>
      <c r="F227" s="16">
        <f>Source!AL160</f>
        <v>12.2</v>
      </c>
      <c r="G227" s="32">
        <f>Source!DD160</f>
      </c>
      <c r="H227" s="16">
        <f>ROUND((Source!CQ160/IF(Source!BC160&lt;&gt;0,Source!BC160,1)*Source!I160),2)</f>
        <v>3.24</v>
      </c>
      <c r="I227" s="14"/>
      <c r="J227" s="14">
        <f>Source!BC160</f>
        <v>4.95</v>
      </c>
      <c r="K227" s="16">
        <f>Source!P160</f>
        <v>16.02</v>
      </c>
      <c r="L227" s="14"/>
    </row>
    <row r="228" spans="1:24" ht="15">
      <c r="A228" s="14"/>
      <c r="B228" s="14"/>
      <c r="C228" s="14" t="s">
        <v>392</v>
      </c>
      <c r="D228" s="17" t="s">
        <v>393</v>
      </c>
      <c r="E228" s="14"/>
      <c r="F228" s="16">
        <f>Source!BZ160</f>
        <v>142</v>
      </c>
      <c r="G228" s="14"/>
      <c r="H228" s="16">
        <f>X228+X231</f>
        <v>114.32</v>
      </c>
      <c r="I228" s="14" t="str">
        <f>Source!FV160</f>
        <v>((*0.85))</v>
      </c>
      <c r="J228" s="16">
        <f>Source!AT160</f>
        <v>121</v>
      </c>
      <c r="K228" s="16">
        <f>Source!X160+Source!X161</f>
        <v>1738.02</v>
      </c>
      <c r="L228" s="14"/>
      <c r="X228">
        <f>ROUND((Source!FX160/100)*(ROUND((Source!CT160/IF(Source!BA160&lt;&gt;0,Source!BA160,1)*Source!I160),2)+ROUND((Source!CS160/IF(Source!BS160&lt;&gt;0,Source!BS160,1)*Source!I160),2)),2)</f>
        <v>114.32</v>
      </c>
    </row>
    <row r="229" spans="1:25" ht="15">
      <c r="A229" s="14"/>
      <c r="B229" s="14"/>
      <c r="C229" s="14" t="s">
        <v>74</v>
      </c>
      <c r="D229" s="17" t="s">
        <v>393</v>
      </c>
      <c r="E229" s="14"/>
      <c r="F229" s="16">
        <f>Source!CA160</f>
        <v>95</v>
      </c>
      <c r="G229" s="14" t="str">
        <f>Source!FU160</f>
        <v>*0.85</v>
      </c>
      <c r="H229" s="16">
        <f>Y229+Y231</f>
        <v>65.01</v>
      </c>
      <c r="I229" s="14" t="str">
        <f>Source!FW160</f>
        <v>((*0.8))</v>
      </c>
      <c r="J229" s="16">
        <f>Source!AU160</f>
        <v>65</v>
      </c>
      <c r="K229" s="16">
        <f>Source!Y160+Source!Y161</f>
        <v>933.65</v>
      </c>
      <c r="L229" s="14"/>
      <c r="Y229">
        <f>ROUND((Source!FY160/100)*(ROUND((Source!CT160/IF(Source!BA160&lt;&gt;0,Source!BA160,1)*Source!I160),2)+ROUND((Source!CS160/IF(Source!BS160&lt;&gt;0,Source!BS160,1)*Source!I160),2)),2)</f>
        <v>65.01</v>
      </c>
    </row>
    <row r="230" spans="1:12" ht="15">
      <c r="A230" s="14"/>
      <c r="B230" s="14"/>
      <c r="C230" s="14" t="s">
        <v>394</v>
      </c>
      <c r="D230" s="17" t="s">
        <v>395</v>
      </c>
      <c r="E230" s="14">
        <f>Source!AQ160</f>
        <v>15.72</v>
      </c>
      <c r="F230" s="14"/>
      <c r="G230" s="32">
        <f>Source!DI160</f>
      </c>
      <c r="H230" s="14"/>
      <c r="I230" s="14"/>
      <c r="J230" s="14"/>
      <c r="K230" s="14"/>
      <c r="L230" s="16">
        <f>Source!U160</f>
        <v>4.168944</v>
      </c>
    </row>
    <row r="231" spans="1:25" ht="30">
      <c r="A231" s="42" t="str">
        <f>Source!E161</f>
        <v>19,1</v>
      </c>
      <c r="B231" s="42" t="str">
        <f>Source!F161</f>
        <v>408-0122</v>
      </c>
      <c r="C231" s="43" t="str">
        <f>Source!G161</f>
        <v>Песок природный для строительных работ средний</v>
      </c>
      <c r="D231" s="44" t="str">
        <f>Source!H161</f>
        <v>м3</v>
      </c>
      <c r="E231" s="34">
        <f>ROUND(Source!I161,6)</f>
        <v>29.172</v>
      </c>
      <c r="F231" s="37">
        <f>IF(Source!AL161=0,Source!AK161,Source!AL161)</f>
        <v>55.26</v>
      </c>
      <c r="G231" s="36">
        <f>Source!DD161</f>
      </c>
      <c r="H231" s="45">
        <f>ROUND((Source!CR161/IF(Source!BB161&lt;&gt;0,Source!BB161,1)*Source!I161),2)+ROUND((Source!CQ161/IF(Source!BC161&lt;&gt;0,Source!BC161,1)*Source!I161),2)+ROUND((Source!CT161/IF(Source!BA161&lt;&gt;0,Source!BA161,1)*Source!I161),2)</f>
        <v>1612.04</v>
      </c>
      <c r="I231" s="36" t="str">
        <f>IF(Source!BO161&lt;&gt;"",Source!BO161,"")</f>
        <v>408-0122</v>
      </c>
      <c r="J231" s="34">
        <f>Source!BC161</f>
        <v>9.25</v>
      </c>
      <c r="K231" s="37">
        <f>Source!O161</f>
        <v>14911.41</v>
      </c>
      <c r="L231" s="34"/>
      <c r="N231">
        <f>ROUND((Source!CT161/IF(Source!BA161&lt;&gt;0,Source!BA161,1)*Source!I161),2)</f>
        <v>0</v>
      </c>
      <c r="O231">
        <f>IF(Source!BI161=1,(ROUND((Source!CR161/IF(Source!BB161&lt;&gt;0,Source!BB161,1)*Source!I161),2)+ROUND((Source!CQ161/IF(Source!BC161&lt;&gt;0,Source!BC161,1)*Source!I161),2)+ROUND((Source!CT161/IF(Source!BA161&lt;&gt;0,Source!BA161,1)*Source!I161),2)),0)</f>
        <v>1612.04</v>
      </c>
      <c r="P231">
        <f>IF(Source!BI161=2,(ROUND((Source!CR161/IF(Source!BB161&lt;&gt;0,Source!BB161,1)*Source!I161),2)+ROUND((Source!CQ161/IF(Source!BC161&lt;&gt;0,Source!BC161,1)*Source!I161),2)+ROUND((Source!CT161/IF(Source!BA161&lt;&gt;0,Source!BA161,1)*Source!I161),2)),0)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Q231">
        <f>IF(Source!BI161=3,(ROUND((Source!CR161/IF(Source!BB161&lt;&gt;0,Source!BB161,1)*Source!I161),2)+ROUND((Source!CQ161/IF(Source!BC161&lt;&gt;0,Source!BC161,1)*Source!I161),2)+ROUND((Source!CT161/IF(Source!BA161&lt;&gt;0,Source!BA161,1)*Source!I161),2)),0)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R231">
        <f>IF(Source!BI161=4,(ROUND((Source!CR161/IF(Source!BB161&lt;&gt;0,Source!BB161,1)*Source!I161),2)+ROUND((Source!CQ161/IF(Source!BC161&lt;&gt;0,Source!BC161,1)*Source!I161),2)+ROUND((Source!CT161/IF(Source!BA161&lt;&gt;0,Source!BA161,1)*Source!I161),2)),0)</f>
        <v>0</v>
      </c>
      <c r="S231">
        <f>IF(Source!BI161=1,Source!O161+Source!X161+Source!Y161,0)</f>
        <v>14911.41</v>
      </c>
      <c r="T231">
        <f>IF(Source!BI161=2,Source!O161+Source!X161+Source!Y161,0)</f>
        <v>0</v>
      </c>
      <c r="U231">
        <f>IF(Source!BI161=3,Source!O161+Source!X161+Source!Y161,0)</f>
        <v>0</v>
      </c>
      <c r="V231">
        <f>IF(Source!BI161=4,Source!O161+Source!X161+Source!Y161,0)</f>
        <v>0</v>
      </c>
      <c r="W231">
        <f>ROUND((Source!CS161/IF(Source!BS161&lt;&gt;0,Source!BS161,1)*Source!I161),2)</f>
        <v>0</v>
      </c>
      <c r="X231">
        <f>ROUND((Source!FX161/100)*(ROUND((Source!CT161/IF(Source!BA161&lt;&gt;0,Source!BA161,1)*Source!I161),2)+ROUND((Source!CS161/IF(Source!BS161&lt;&gt;0,Source!BS161,1)*Source!I161),2)),2)</f>
        <v>0</v>
      </c>
      <c r="Y231">
        <f>ROUND((Source!FY161/100)*(ROUND((Source!CT161/IF(Source!BA161&lt;&gt;0,Source!BA161,1)*Source!I161),2)+ROUND((Source!CS161/IF(Source!BS161&lt;&gt;0,Source!BS161,1)*Source!I161),2)),2)</f>
        <v>0</v>
      </c>
    </row>
    <row r="232" spans="1:23" ht="15.75">
      <c r="A232" s="14"/>
      <c r="B232" s="14"/>
      <c r="C232" s="14"/>
      <c r="D232" s="14"/>
      <c r="E232" s="14"/>
      <c r="F232" s="14"/>
      <c r="G232" s="14"/>
      <c r="H232" s="38">
        <f>ROUND((Source!CT160/IF(Source!BA160&lt;&gt;0,Source!BA160,1)*Source!I160),2)+ROUND((Source!CR160/IF(Source!BB160&lt;&gt;0,Source!BB160,1)*Source!I160),2)+H227+H228+H229+H231</f>
        <v>2407.8199999999997</v>
      </c>
      <c r="I232" s="39"/>
      <c r="J232" s="39"/>
      <c r="K232" s="38">
        <f>Source!S160+Source!Q160+K227+K228+K229+K231</f>
        <v>21552.47</v>
      </c>
      <c r="L232" s="38">
        <f>Source!U160</f>
        <v>4.168944</v>
      </c>
      <c r="M232" s="33">
        <f>H232</f>
        <v>2407.8199999999997</v>
      </c>
      <c r="N232">
        <f>ROUND((Source!CT160/IF(Source!BA160&lt;&gt;0,Source!BA160,1)*Source!I160),2)</f>
        <v>33.43</v>
      </c>
      <c r="O232">
        <f>IF(Source!BI160=1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795.7933308000001</v>
      </c>
      <c r="P232">
        <f>IF(Source!BI160=2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Q232">
        <f>IF(Source!BI160=3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R232">
        <f>IF(Source!BI160=4,((((Source!CT160/IF(Source!BA160&lt;&gt;0,Source!BA160,1)*Source!I160)+(Source!CR160/IF(Source!BB160&lt;&gt;0,Source!BB160,1)*Source!I160)+(Source!CQ160/IF(Source!BC160&lt;&gt;0,Source!BC160,1)*Source!I160))+((Source!FX160/100)*((Source!CT160/IF(Source!BA160&lt;&gt;0,Source!BA160,1)*Source!I160)+(Source!CS160/IF(Source!BS160&lt;&gt;0,Source!BS160,1)*Source!I160)))+((Source!FY160/100)*((Source!CT160/IF(Source!BA160&lt;&gt;0,Source!BA160,1)*Source!I160)+(Source!CS160/IF(Source!BS160&lt;&gt;0,Source!BS160,1)*Source!I160))))),0)</f>
        <v>0</v>
      </c>
      <c r="S232">
        <f>IF(Source!BI160=1,Source!O160+Source!X160+Source!Y160,0)</f>
        <v>6641.0599999999995</v>
      </c>
      <c r="T232">
        <f>IF(Source!BI160=2,Source!O160+Source!X160+Source!Y160,0)</f>
        <v>0</v>
      </c>
      <c r="U232">
        <f>IF(Source!BI160=3,Source!O160+Source!X160+Source!Y160,0)</f>
        <v>0</v>
      </c>
      <c r="V232">
        <f>IF(Source!BI160=4,Source!O160+Source!X160+Source!Y160,0)</f>
        <v>0</v>
      </c>
      <c r="W232">
        <f>ROUND((Source!CS160/IF(Source!BS160&lt;&gt;0,Source!BS160,1)*Source!I160),2)</f>
        <v>47.08</v>
      </c>
    </row>
    <row r="233" spans="1:12" ht="45">
      <c r="A233" s="29" t="str">
        <f>Source!E162</f>
        <v>20</v>
      </c>
      <c r="B233" s="29" t="str">
        <f>Source!F162</f>
        <v>27-04-001-4</v>
      </c>
      <c r="C233" s="30" t="str">
        <f>Source!G162</f>
        <v>Устройство подстилающих и выравнивающих слоев оснований из щебня</v>
      </c>
      <c r="D233" s="31" t="str">
        <f>Source!H162</f>
        <v>100 м3</v>
      </c>
      <c r="E233" s="14">
        <f>ROUND(Source!I162,6)</f>
        <v>0.1326</v>
      </c>
      <c r="F233" s="16">
        <f>IF(Source!AK162&lt;&gt;0,Source!AK162,Source!AL162+Source!AM162+Source!AO162)</f>
        <v>3578.4199999999996</v>
      </c>
      <c r="G233" s="14"/>
      <c r="H233" s="14"/>
      <c r="I233" s="32" t="str">
        <f>IF(Source!BO162&lt;&gt;"",Source!BO162,"")</f>
        <v>27-04-001-4</v>
      </c>
      <c r="J233" s="14"/>
      <c r="K233" s="14"/>
      <c r="L233" s="14"/>
    </row>
    <row r="234" spans="1:12" ht="15">
      <c r="A234" s="14"/>
      <c r="B234" s="14"/>
      <c r="C234" s="14" t="s">
        <v>391</v>
      </c>
      <c r="D234" s="14"/>
      <c r="E234" s="14"/>
      <c r="F234" s="16">
        <f>Source!AO162</f>
        <v>195.7</v>
      </c>
      <c r="G234" s="32">
        <f>Source!DG162</f>
      </c>
      <c r="H234" s="16">
        <f>ROUND((Source!CT162/IF(Source!BA162&lt;&gt;0,Source!BA162,1)*Source!I162),2)</f>
        <v>25.95</v>
      </c>
      <c r="I234" s="14"/>
      <c r="J234" s="14">
        <f>Source!BA162</f>
        <v>17.84</v>
      </c>
      <c r="K234" s="16">
        <f>Source!S162</f>
        <v>462.94</v>
      </c>
      <c r="L234" s="14"/>
    </row>
    <row r="235" spans="1:12" ht="15">
      <c r="A235" s="14"/>
      <c r="B235" s="14"/>
      <c r="C235" s="14" t="s">
        <v>58</v>
      </c>
      <c r="D235" s="14"/>
      <c r="E235" s="14"/>
      <c r="F235" s="16">
        <f>Source!AM162</f>
        <v>3365.64</v>
      </c>
      <c r="G235" s="32">
        <f>Source!DE162</f>
      </c>
      <c r="H235" s="16">
        <f>ROUND((Source!CR162/IF(Source!BB162&lt;&gt;0,Source!BB162,1)*Source!I162),2)</f>
        <v>446.28</v>
      </c>
      <c r="I235" s="14"/>
      <c r="J235" s="14">
        <f>Source!BB162</f>
        <v>6</v>
      </c>
      <c r="K235" s="16">
        <f>Source!Q162</f>
        <v>2677.7</v>
      </c>
      <c r="L235" s="14"/>
    </row>
    <row r="236" spans="1:12" ht="15">
      <c r="A236" s="14"/>
      <c r="B236" s="14"/>
      <c r="C236" s="14" t="s">
        <v>396</v>
      </c>
      <c r="D236" s="14"/>
      <c r="E236" s="14"/>
      <c r="F236" s="16">
        <f>Source!AN162</f>
        <v>280.98</v>
      </c>
      <c r="G236" s="32">
        <f>Source!DF162</f>
      </c>
      <c r="H236" s="40">
        <f>ROUND((Source!CS162/IF(Source!BS162&lt;&gt;0,Source!BS162,1)*Source!I162),2)</f>
        <v>37.26</v>
      </c>
      <c r="I236" s="14"/>
      <c r="J236" s="14">
        <f>Source!BS162</f>
        <v>17.84</v>
      </c>
      <c r="K236" s="40">
        <f>Source!R162</f>
        <v>664.68</v>
      </c>
      <c r="L236" s="14"/>
    </row>
    <row r="237" spans="1:12" ht="15">
      <c r="A237" s="14"/>
      <c r="B237" s="14"/>
      <c r="C237" s="14" t="s">
        <v>397</v>
      </c>
      <c r="D237" s="14"/>
      <c r="E237" s="14"/>
      <c r="F237" s="16">
        <f>Source!AL162</f>
        <v>17.08</v>
      </c>
      <c r="G237" s="32">
        <f>Source!DD162</f>
      </c>
      <c r="H237" s="16">
        <f>ROUND((Source!CQ162/IF(Source!BC162&lt;&gt;0,Source!BC162,1)*Source!I162),2)</f>
        <v>2.26</v>
      </c>
      <c r="I237" s="14"/>
      <c r="J237" s="14">
        <f>Source!BC162</f>
        <v>4.95</v>
      </c>
      <c r="K237" s="16">
        <f>Source!P162</f>
        <v>11.21</v>
      </c>
      <c r="L237" s="14"/>
    </row>
    <row r="238" spans="1:24" ht="15">
      <c r="A238" s="14"/>
      <c r="B238" s="14"/>
      <c r="C238" s="14" t="s">
        <v>392</v>
      </c>
      <c r="D238" s="17" t="s">
        <v>393</v>
      </c>
      <c r="E238" s="14"/>
      <c r="F238" s="16">
        <f>Source!BZ162</f>
        <v>142</v>
      </c>
      <c r="G238" s="14"/>
      <c r="H238" s="16">
        <f>X238+X241</f>
        <v>89.76</v>
      </c>
      <c r="I238" s="14" t="str">
        <f>Source!FV162</f>
        <v>((*0.85))</v>
      </c>
      <c r="J238" s="16">
        <f>Source!AT162</f>
        <v>121</v>
      </c>
      <c r="K238" s="16">
        <f>Source!X162+Source!X163</f>
        <v>1364.42</v>
      </c>
      <c r="L238" s="14"/>
      <c r="X238">
        <f>ROUND((Source!FX162/100)*(ROUND((Source!CT162/IF(Source!BA162&lt;&gt;0,Source!BA162,1)*Source!I162),2)+ROUND((Source!CS162/IF(Source!BS162&lt;&gt;0,Source!BS162,1)*Source!I162),2)),2)</f>
        <v>89.76</v>
      </c>
    </row>
    <row r="239" spans="1:25" ht="15">
      <c r="A239" s="14"/>
      <c r="B239" s="14"/>
      <c r="C239" s="14" t="s">
        <v>74</v>
      </c>
      <c r="D239" s="17" t="s">
        <v>393</v>
      </c>
      <c r="E239" s="14"/>
      <c r="F239" s="16">
        <f>Source!CA162</f>
        <v>95</v>
      </c>
      <c r="G239" s="14" t="str">
        <f>Source!FU162</f>
        <v>*0.85</v>
      </c>
      <c r="H239" s="16">
        <f>Y239+Y241</f>
        <v>51.04</v>
      </c>
      <c r="I239" s="14" t="str">
        <f>Source!FW162</f>
        <v>((*0.8))</v>
      </c>
      <c r="J239" s="16">
        <f>Source!AU162</f>
        <v>65</v>
      </c>
      <c r="K239" s="16">
        <f>Source!Y162+Source!Y163</f>
        <v>732.95</v>
      </c>
      <c r="L239" s="14"/>
      <c r="Y239">
        <f>ROUND((Source!FY162/100)*(ROUND((Source!CT162/IF(Source!BA162&lt;&gt;0,Source!BA162,1)*Source!I162),2)+ROUND((Source!CS162/IF(Source!BS162&lt;&gt;0,Source!BS162,1)*Source!I162),2)),2)</f>
        <v>51.04</v>
      </c>
    </row>
    <row r="240" spans="1:12" ht="15">
      <c r="A240" s="14"/>
      <c r="B240" s="14"/>
      <c r="C240" s="14" t="s">
        <v>394</v>
      </c>
      <c r="D240" s="17" t="s">
        <v>395</v>
      </c>
      <c r="E240" s="14">
        <f>Source!AQ162</f>
        <v>24.19</v>
      </c>
      <c r="F240" s="14"/>
      <c r="G240" s="32">
        <f>Source!DI162</f>
      </c>
      <c r="H240" s="14"/>
      <c r="I240" s="14"/>
      <c r="J240" s="14"/>
      <c r="K240" s="14"/>
      <c r="L240" s="16">
        <f>Source!U162</f>
        <v>3.2075940000000003</v>
      </c>
    </row>
    <row r="241" spans="1:25" ht="45">
      <c r="A241" s="42" t="str">
        <f>Source!E163</f>
        <v>20,1</v>
      </c>
      <c r="B241" s="42" t="str">
        <f>Source!F163</f>
        <v>408-0393</v>
      </c>
      <c r="C241" s="43" t="str">
        <f>Source!G163</f>
        <v>Щебень известняковый для строительных работ марки 600 фракции 40-70 мм</v>
      </c>
      <c r="D241" s="44" t="str">
        <f>Source!H163</f>
        <v>м3</v>
      </c>
      <c r="E241" s="34">
        <f>ROUND(Source!I163,6)</f>
        <v>16.575</v>
      </c>
      <c r="F241" s="37">
        <f>IF(Source!AL163=0,Source!AK163,Source!AL163)</f>
        <v>98.6</v>
      </c>
      <c r="G241" s="36">
        <f>Source!DD163</f>
      </c>
      <c r="H241" s="45">
        <f>ROUND((Source!CR163/IF(Source!BB163&lt;&gt;0,Source!BB163,1)*Source!I163),2)+ROUND((Source!CQ163/IF(Source!BC163&lt;&gt;0,Source!BC163,1)*Source!I163),2)+ROUND((Source!CT163/IF(Source!BA163&lt;&gt;0,Source!BA163,1)*Source!I163),2)</f>
        <v>1634.3</v>
      </c>
      <c r="I241" s="36" t="str">
        <f>IF(Source!BO163&lt;&gt;"",Source!BO163,"")</f>
        <v>408-0393</v>
      </c>
      <c r="J241" s="34">
        <f>Source!BC163</f>
        <v>10.79</v>
      </c>
      <c r="K241" s="37">
        <f>Source!O163</f>
        <v>17634.04</v>
      </c>
      <c r="L241" s="34"/>
      <c r="N241">
        <f>ROUND((Source!CT163/IF(Source!BA163&lt;&gt;0,Source!BA163,1)*Source!I163),2)</f>
        <v>0</v>
      </c>
      <c r="O241">
        <f>IF(Source!BI163=1,(ROUND((Source!CR163/IF(Source!BB163&lt;&gt;0,Source!BB163,1)*Source!I163),2)+ROUND((Source!CQ163/IF(Source!BC163&lt;&gt;0,Source!BC163,1)*Source!I163),2)+ROUND((Source!CT163/IF(Source!BA163&lt;&gt;0,Source!BA163,1)*Source!I163),2)),0)</f>
        <v>1634.3</v>
      </c>
      <c r="P241">
        <f>IF(Source!BI163=2,(ROUND((Source!CR163/IF(Source!BB163&lt;&gt;0,Source!BB163,1)*Source!I163),2)+ROUND((Source!CQ163/IF(Source!BC163&lt;&gt;0,Source!BC163,1)*Source!I163),2)+ROUND((Source!CT163/IF(Source!BA163&lt;&gt;0,Source!BA163,1)*Source!I163),2)),0)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Q241">
        <f>IF(Source!BI163=3,(ROUND((Source!CR163/IF(Source!BB163&lt;&gt;0,Source!BB163,1)*Source!I163),2)+ROUND((Source!CQ163/IF(Source!BC163&lt;&gt;0,Source!BC163,1)*Source!I163),2)+ROUND((Source!CT163/IF(Source!BA163&lt;&gt;0,Source!BA163,1)*Source!I163),2)),0)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R241">
        <f>IF(Source!BI163=4,(ROUND((Source!CR163/IF(Source!BB163&lt;&gt;0,Source!BB163,1)*Source!I163),2)+ROUND((Source!CQ163/IF(Source!BC163&lt;&gt;0,Source!BC163,1)*Source!I163),2)+ROUND((Source!CT163/IF(Source!BA163&lt;&gt;0,Source!BA163,1)*Source!I163),2)),0)</f>
        <v>0</v>
      </c>
      <c r="S241">
        <f>IF(Source!BI163=1,Source!O163+Source!X163+Source!Y163,0)</f>
        <v>17634.04</v>
      </c>
      <c r="T241">
        <f>IF(Source!BI163=2,Source!O163+Source!X163+Source!Y163,0)</f>
        <v>0</v>
      </c>
      <c r="U241">
        <f>IF(Source!BI163=3,Source!O163+Source!X163+Source!Y163,0)</f>
        <v>0</v>
      </c>
      <c r="V241">
        <f>IF(Source!BI163=4,Source!O163+Source!X163+Source!Y163,0)</f>
        <v>0</v>
      </c>
      <c r="W241">
        <f>ROUND((Source!CS163/IF(Source!BS163&lt;&gt;0,Source!BS163,1)*Source!I163),2)</f>
        <v>0</v>
      </c>
      <c r="X241">
        <f>ROUND((Source!FX163/100)*(ROUND((Source!CT163/IF(Source!BA163&lt;&gt;0,Source!BA163,1)*Source!I163),2)+ROUND((Source!CS163/IF(Source!BS163&lt;&gt;0,Source!BS163,1)*Source!I163),2)),2)</f>
        <v>0</v>
      </c>
      <c r="Y241">
        <f>ROUND((Source!FY163/100)*(ROUND((Source!CT163/IF(Source!BA163&lt;&gt;0,Source!BA163,1)*Source!I163),2)+ROUND((Source!CS163/IF(Source!BS163&lt;&gt;0,Source!BS163,1)*Source!I163),2)),2)</f>
        <v>0</v>
      </c>
    </row>
    <row r="242" spans="1:23" ht="15.75">
      <c r="A242" s="14"/>
      <c r="B242" s="14"/>
      <c r="C242" s="14"/>
      <c r="D242" s="14"/>
      <c r="E242" s="14"/>
      <c r="F242" s="14"/>
      <c r="G242" s="14"/>
      <c r="H242" s="38">
        <f>ROUND((Source!CT162/IF(Source!BA162&lt;&gt;0,Source!BA162,1)*Source!I162),2)+ROUND((Source!CR162/IF(Source!BB162&lt;&gt;0,Source!BB162,1)*Source!I162),2)+H237+H238+H239+H241</f>
        <v>2249.59</v>
      </c>
      <c r="I242" s="39"/>
      <c r="J242" s="39"/>
      <c r="K242" s="38">
        <f>Source!S162+Source!Q162+K237+K238+K239+K241</f>
        <v>22883.260000000002</v>
      </c>
      <c r="L242" s="38">
        <f>Source!U162</f>
        <v>3.2075940000000003</v>
      </c>
      <c r="M242" s="33">
        <f>H242</f>
        <v>2249.59</v>
      </c>
      <c r="N242">
        <f>ROUND((Source!CT162/IF(Source!BA162&lt;&gt;0,Source!BA162,1)*Source!I162),2)</f>
        <v>25.95</v>
      </c>
      <c r="O242">
        <f>IF(Source!BI162=1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615.29379522</v>
      </c>
      <c r="P242">
        <f>IF(Source!BI162=2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Q242">
        <f>IF(Source!BI162=3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R242">
        <f>IF(Source!BI162=4,((((Source!CT162/IF(Source!BA162&lt;&gt;0,Source!BA162,1)*Source!I162)+(Source!CR162/IF(Source!BB162&lt;&gt;0,Source!BB162,1)*Source!I162)+(Source!CQ162/IF(Source!BC162&lt;&gt;0,Source!BC162,1)*Source!I162))+((Source!FX162/100)*((Source!CT162/IF(Source!BA162&lt;&gt;0,Source!BA162,1)*Source!I162)+(Source!CS162/IF(Source!BS162&lt;&gt;0,Source!BS162,1)*Source!I162)))+((Source!FY162/100)*((Source!CT162/IF(Source!BA162&lt;&gt;0,Source!BA162,1)*Source!I162)+(Source!CS162/IF(Source!BS162&lt;&gt;0,Source!BS162,1)*Source!I162))))),0)</f>
        <v>0</v>
      </c>
      <c r="S242">
        <f>IF(Source!BI162=1,Source!O162+Source!X162+Source!Y162,0)</f>
        <v>5249.22</v>
      </c>
      <c r="T242">
        <f>IF(Source!BI162=2,Source!O162+Source!X162+Source!Y162,0)</f>
        <v>0</v>
      </c>
      <c r="U242">
        <f>IF(Source!BI162=3,Source!O162+Source!X162+Source!Y162,0)</f>
        <v>0</v>
      </c>
      <c r="V242">
        <f>IF(Source!BI162=4,Source!O162+Source!X162+Source!Y162,0)</f>
        <v>0</v>
      </c>
      <c r="W242">
        <f>ROUND((Source!CS162/IF(Source!BS162&lt;&gt;0,Source!BS162,1)*Source!I162),2)</f>
        <v>37.26</v>
      </c>
    </row>
    <row r="243" spans="1:12" ht="90">
      <c r="A243" s="29" t="str">
        <f>Source!E164</f>
        <v>21</v>
      </c>
      <c r="B243" s="29" t="str">
        <f>Source!F164</f>
        <v>27-06-020-5</v>
      </c>
      <c r="C243" s="30" t="str">
        <f>Source!G164</f>
        <v>Устройство покрытия толщиной 4 см из горячих асфальтобетонных смесей плотных песчаных типа ГД, плотность каменных материалов 2,5-2,9-3 т/м3</v>
      </c>
      <c r="D243" s="31" t="str">
        <f>Source!H164</f>
        <v>1000 м2</v>
      </c>
      <c r="E243" s="14">
        <f>ROUND(Source!I164,6)</f>
        <v>0.1326</v>
      </c>
      <c r="F243" s="16">
        <f>IF(Source!AK164&lt;&gt;0,Source!AK164,Source!AL164+Source!AM164+Source!AO164)</f>
        <v>56333.39</v>
      </c>
      <c r="G243" s="14"/>
      <c r="H243" s="14"/>
      <c r="I243" s="32" t="str">
        <f>IF(Source!BO164&lt;&gt;"",Source!BO164,"")</f>
        <v>27-06-020-5</v>
      </c>
      <c r="J243" s="14"/>
      <c r="K243" s="14"/>
      <c r="L243" s="14"/>
    </row>
    <row r="244" spans="1:12" ht="15">
      <c r="A244" s="14"/>
      <c r="B244" s="14"/>
      <c r="C244" s="14" t="s">
        <v>391</v>
      </c>
      <c r="D244" s="14"/>
      <c r="E244" s="14"/>
      <c r="F244" s="16">
        <f>Source!AO164</f>
        <v>368.45</v>
      </c>
      <c r="G244" s="32">
        <f>Source!DG164</f>
      </c>
      <c r="H244" s="16">
        <f>ROUND((Source!CT164/IF(Source!BA164&lt;&gt;0,Source!BA164,1)*Source!I164),2)</f>
        <v>48.86</v>
      </c>
      <c r="I244" s="14"/>
      <c r="J244" s="14">
        <f>Source!BA164</f>
        <v>17.84</v>
      </c>
      <c r="K244" s="16">
        <f>Source!S164</f>
        <v>871.6</v>
      </c>
      <c r="L244" s="14"/>
    </row>
    <row r="245" spans="1:12" ht="15">
      <c r="A245" s="14"/>
      <c r="B245" s="14"/>
      <c r="C245" s="14" t="s">
        <v>58</v>
      </c>
      <c r="D245" s="14"/>
      <c r="E245" s="14"/>
      <c r="F245" s="16">
        <f>Source!AM164</f>
        <v>2386.22</v>
      </c>
      <c r="G245" s="32">
        <f>Source!DE164</f>
      </c>
      <c r="H245" s="16">
        <f>ROUND((Source!CR164/IF(Source!BB164&lt;&gt;0,Source!BB164,1)*Source!I164),2)</f>
        <v>316.41</v>
      </c>
      <c r="I245" s="14"/>
      <c r="J245" s="14">
        <f>Source!BB164</f>
        <v>4.93</v>
      </c>
      <c r="K245" s="16">
        <f>Source!Q164</f>
        <v>1559.91</v>
      </c>
      <c r="L245" s="14"/>
    </row>
    <row r="246" spans="1:12" ht="15">
      <c r="A246" s="14"/>
      <c r="B246" s="14"/>
      <c r="C246" s="14" t="s">
        <v>396</v>
      </c>
      <c r="D246" s="14"/>
      <c r="E246" s="14"/>
      <c r="F246" s="16">
        <f>Source!AN164</f>
        <v>262.54</v>
      </c>
      <c r="G246" s="32">
        <f>Source!DF164</f>
      </c>
      <c r="H246" s="40">
        <f>ROUND((Source!CS164/IF(Source!BS164&lt;&gt;0,Source!BS164,1)*Source!I164),2)</f>
        <v>34.81</v>
      </c>
      <c r="I246" s="14"/>
      <c r="J246" s="14">
        <f>Source!BS164</f>
        <v>17.84</v>
      </c>
      <c r="K246" s="40">
        <f>Source!R164</f>
        <v>621.06</v>
      </c>
      <c r="L246" s="14"/>
    </row>
    <row r="247" spans="1:12" ht="15">
      <c r="A247" s="14"/>
      <c r="B247" s="14"/>
      <c r="C247" s="14" t="s">
        <v>397</v>
      </c>
      <c r="D247" s="14"/>
      <c r="E247" s="14"/>
      <c r="F247" s="16">
        <f>Source!AL164</f>
        <v>53578.72</v>
      </c>
      <c r="G247" s="32">
        <f>Source!DD164</f>
      </c>
      <c r="H247" s="16">
        <f>ROUND((Source!CQ164/IF(Source!BC164&lt;&gt;0,Source!BC164,1)*Source!I164),2)</f>
        <v>7104.54</v>
      </c>
      <c r="I247" s="14"/>
      <c r="J247" s="14">
        <f>Source!BC164</f>
        <v>4.83</v>
      </c>
      <c r="K247" s="16">
        <f>Source!P164</f>
        <v>34314.92</v>
      </c>
      <c r="L247" s="14"/>
    </row>
    <row r="248" spans="1:24" ht="15">
      <c r="A248" s="14"/>
      <c r="B248" s="14"/>
      <c r="C248" s="14" t="s">
        <v>392</v>
      </c>
      <c r="D248" s="17" t="s">
        <v>393</v>
      </c>
      <c r="E248" s="14"/>
      <c r="F248" s="16">
        <f>Source!BZ164</f>
        <v>142</v>
      </c>
      <c r="G248" s="14"/>
      <c r="H248" s="16">
        <f>X248</f>
        <v>118.81</v>
      </c>
      <c r="I248" s="14" t="str">
        <f>Source!FV164</f>
        <v>((*0.85))</v>
      </c>
      <c r="J248" s="16">
        <f>Source!AT164</f>
        <v>121</v>
      </c>
      <c r="K248" s="16">
        <f>Source!X164</f>
        <v>1806.12</v>
      </c>
      <c r="L248" s="14"/>
      <c r="X248">
        <f>ROUND((Source!FX164/100)*(ROUND((Source!CT164/IF(Source!BA164&lt;&gt;0,Source!BA164,1)*Source!I164),2)+ROUND((Source!CS164/IF(Source!BS164&lt;&gt;0,Source!BS164,1)*Source!I164),2)),2)</f>
        <v>118.81</v>
      </c>
    </row>
    <row r="249" spans="1:25" ht="15">
      <c r="A249" s="14"/>
      <c r="B249" s="14"/>
      <c r="C249" s="14" t="s">
        <v>74</v>
      </c>
      <c r="D249" s="17" t="s">
        <v>393</v>
      </c>
      <c r="E249" s="14"/>
      <c r="F249" s="16">
        <f>Source!CA164</f>
        <v>95</v>
      </c>
      <c r="G249" s="14" t="str">
        <f>Source!FU164</f>
        <v>*0.85</v>
      </c>
      <c r="H249" s="16">
        <f>Y249</f>
        <v>67.56</v>
      </c>
      <c r="I249" s="14" t="str">
        <f>Source!FW164</f>
        <v>((*0.8))</v>
      </c>
      <c r="J249" s="16">
        <f>Source!AU164</f>
        <v>65</v>
      </c>
      <c r="K249" s="16">
        <f>Source!Y164</f>
        <v>970.23</v>
      </c>
      <c r="L249" s="14"/>
      <c r="Y249">
        <f>ROUND((Source!FY164/100)*(ROUND((Source!CT164/IF(Source!BA164&lt;&gt;0,Source!BA164,1)*Source!I164),2)+ROUND((Source!CS164/IF(Source!BS164&lt;&gt;0,Source!BS164,1)*Source!I164),2)),2)</f>
        <v>67.56</v>
      </c>
    </row>
    <row r="250" spans="1:12" ht="15">
      <c r="A250" s="34"/>
      <c r="B250" s="34"/>
      <c r="C250" s="34" t="s">
        <v>394</v>
      </c>
      <c r="D250" s="35" t="s">
        <v>395</v>
      </c>
      <c r="E250" s="34">
        <f>Source!AQ164</f>
        <v>38.3</v>
      </c>
      <c r="F250" s="34"/>
      <c r="G250" s="36">
        <f>Source!DI164</f>
      </c>
      <c r="H250" s="34"/>
      <c r="I250" s="34"/>
      <c r="J250" s="34"/>
      <c r="K250" s="34"/>
      <c r="L250" s="37">
        <f>Source!U164</f>
        <v>5.07858</v>
      </c>
    </row>
    <row r="251" spans="1:23" ht="15.75">
      <c r="A251" s="14"/>
      <c r="B251" s="14"/>
      <c r="C251" s="14"/>
      <c r="D251" s="14"/>
      <c r="E251" s="14"/>
      <c r="F251" s="14"/>
      <c r="G251" s="14"/>
      <c r="H251" s="38">
        <f>ROUND((Source!CT164/IF(Source!BA164&lt;&gt;0,Source!BA164,1)*Source!I164),2)+ROUND((Source!CR164/IF(Source!BB164&lt;&gt;0,Source!BB164,1)*Source!I164),2)+H247+H248+H249</f>
        <v>7656.180000000001</v>
      </c>
      <c r="I251" s="39"/>
      <c r="J251" s="39"/>
      <c r="K251" s="38">
        <f>Source!S164+Source!Q164+K247+K248+K249</f>
        <v>39522.780000000006</v>
      </c>
      <c r="L251" s="38">
        <f>Source!U164</f>
        <v>5.07858</v>
      </c>
      <c r="M251" s="33">
        <f>H251</f>
        <v>7656.180000000001</v>
      </c>
      <c r="N251">
        <f>ROUND((Source!CT164/IF(Source!BA164&lt;&gt;0,Source!BA164,1)*Source!I164),2)</f>
        <v>48.86</v>
      </c>
      <c r="O251">
        <f>IF(Source!BI164=1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7656.180821835</v>
      </c>
      <c r="P251">
        <f>IF(Source!BI164=2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Q251">
        <f>IF(Source!BI164=3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R251">
        <f>IF(Source!BI164=4,((((Source!CT164/IF(Source!BA164&lt;&gt;0,Source!BA164,1)*Source!I164)+(Source!CR164/IF(Source!BB164&lt;&gt;0,Source!BB164,1)*Source!I164)+(Source!CQ164/IF(Source!BC164&lt;&gt;0,Source!BC164,1)*Source!I164))+((Source!FX164/100)*((Source!CT164/IF(Source!BA164&lt;&gt;0,Source!BA164,1)*Source!I164)+(Source!CS164/IF(Source!BS164&lt;&gt;0,Source!BS164,1)*Source!I164)))+((Source!FY164/100)*((Source!CT164/IF(Source!BA164&lt;&gt;0,Source!BA164,1)*Source!I164)+(Source!CS164/IF(Source!BS164&lt;&gt;0,Source!BS164,1)*Source!I164))))),0)</f>
        <v>0</v>
      </c>
      <c r="S251">
        <f>IF(Source!BI164=1,Source!O164+Source!X164+Source!Y164,0)</f>
        <v>39522.780000000006</v>
      </c>
      <c r="T251">
        <f>IF(Source!BI164=2,Source!O164+Source!X164+Source!Y164,0)</f>
        <v>0</v>
      </c>
      <c r="U251">
        <f>IF(Source!BI164=3,Source!O164+Source!X164+Source!Y164,0)</f>
        <v>0</v>
      </c>
      <c r="V251">
        <f>IF(Source!BI164=4,Source!O164+Source!X164+Source!Y164,0)</f>
        <v>0</v>
      </c>
      <c r="W251">
        <f>ROUND((Source!CS164/IF(Source!BS164&lt;&gt;0,Source!BS164,1)*Source!I164),2)</f>
        <v>34.81</v>
      </c>
    </row>
    <row r="253" spans="3:23" s="39" customFormat="1" ht="15.75">
      <c r="C253" s="39" t="s">
        <v>176</v>
      </c>
      <c r="G253" s="107">
        <f>SUM(M211:M252)</f>
        <v>13742.800000000001</v>
      </c>
      <c r="H253" s="107"/>
      <c r="J253" s="107">
        <f>ROUND(Source!AB156+Source!AK156+Source!AL156+Source!AE156*0/100,2)</f>
        <v>92706.99</v>
      </c>
      <c r="K253" s="107"/>
      <c r="L253" s="38">
        <f>Source!AH156</f>
        <v>13.15</v>
      </c>
      <c r="N253" s="38">
        <f aca="true" t="shared" si="5" ref="N253:W253">SUM(N211:N252)</f>
        <v>113.7</v>
      </c>
      <c r="O253" s="38">
        <f t="shared" si="5"/>
        <v>12557.788825705</v>
      </c>
      <c r="P253" s="38">
        <f t="shared" si="5"/>
        <v>0</v>
      </c>
      <c r="Q253" s="38">
        <f t="shared" si="5"/>
        <v>0</v>
      </c>
      <c r="R253" s="38">
        <f t="shared" si="5"/>
        <v>1185.03</v>
      </c>
      <c r="S253" s="38">
        <f t="shared" si="5"/>
        <v>86402.63</v>
      </c>
      <c r="T253" s="38">
        <f t="shared" si="5"/>
        <v>0</v>
      </c>
      <c r="U253" s="38">
        <f t="shared" si="5"/>
        <v>0</v>
      </c>
      <c r="V253" s="38">
        <f t="shared" si="5"/>
        <v>6304.36</v>
      </c>
      <c r="W253" s="39">
        <f t="shared" si="5"/>
        <v>146.91</v>
      </c>
    </row>
    <row r="255" spans="3:30" ht="18">
      <c r="C255" s="26" t="s">
        <v>390</v>
      </c>
      <c r="D255" s="106" t="str">
        <f>IF(Source!C12="1",Source!F182,Source!G182)</f>
        <v>Ремонт колодцев</v>
      </c>
      <c r="E255" s="108"/>
      <c r="F255" s="108"/>
      <c r="G255" s="108"/>
      <c r="H255" s="108"/>
      <c r="I255" s="108"/>
      <c r="J255" s="108"/>
      <c r="K255" s="108"/>
      <c r="L255" s="108"/>
      <c r="AD255" s="28" t="str">
        <f>IF(Source!C12="1",Source!F182,Source!G182)</f>
        <v>Ремонт колодцев</v>
      </c>
    </row>
    <row r="257" spans="1:12" ht="15">
      <c r="A257" s="29" t="str">
        <f>Source!E186</f>
        <v>22</v>
      </c>
      <c r="B257" s="29" t="str">
        <f>Source!F186</f>
        <v>66-8-1</v>
      </c>
      <c r="C257" s="30" t="str">
        <f>Source!G186</f>
        <v>Демонтаж чугунных люков</v>
      </c>
      <c r="D257" s="31" t="str">
        <f>Source!H186</f>
        <v>1 люк</v>
      </c>
      <c r="E257" s="14">
        <f>ROUND(Source!I186,6)</f>
        <v>3</v>
      </c>
      <c r="F257" s="16">
        <f>IF(Source!AK186&lt;&gt;0,Source!AK186,Source!AL186+Source!AM186+Source!AO186)</f>
        <v>17.86</v>
      </c>
      <c r="G257" s="14"/>
      <c r="H257" s="14"/>
      <c r="I257" s="32" t="str">
        <f>IF(Source!BO186&lt;&gt;"",Source!BO186,"")</f>
        <v>66-8-1</v>
      </c>
      <c r="J257" s="14"/>
      <c r="K257" s="14"/>
      <c r="L257" s="14"/>
    </row>
    <row r="258" spans="1:12" ht="15">
      <c r="A258" s="14"/>
      <c r="B258" s="14"/>
      <c r="C258" s="14" t="s">
        <v>391</v>
      </c>
      <c r="D258" s="14"/>
      <c r="E258" s="14"/>
      <c r="F258" s="16">
        <f>Source!AO186</f>
        <v>17.86</v>
      </c>
      <c r="G258" s="32">
        <f>Source!DG186</f>
      </c>
      <c r="H258" s="16">
        <f>ROUND((Source!CT186/IF(Source!BA186&lt;&gt;0,Source!BA186,1)*Source!I186),2)</f>
        <v>53.58</v>
      </c>
      <c r="I258" s="14"/>
      <c r="J258" s="14">
        <f>Source!BA186</f>
        <v>17.84</v>
      </c>
      <c r="K258" s="16">
        <f>Source!S186</f>
        <v>955.87</v>
      </c>
      <c r="L258" s="14"/>
    </row>
    <row r="259" spans="1:24" ht="15">
      <c r="A259" s="14"/>
      <c r="B259" s="14"/>
      <c r="C259" s="14" t="s">
        <v>392</v>
      </c>
      <c r="D259" s="17" t="s">
        <v>393</v>
      </c>
      <c r="E259" s="14"/>
      <c r="F259" s="16">
        <f>Source!BZ186</f>
        <v>74</v>
      </c>
      <c r="G259" s="14"/>
      <c r="H259" s="16">
        <f>X259</f>
        <v>39.65</v>
      </c>
      <c r="I259" s="14" t="str">
        <f>Source!FV186</f>
        <v>((*0.85))</v>
      </c>
      <c r="J259" s="16">
        <f>Source!AT186</f>
        <v>63</v>
      </c>
      <c r="K259" s="16">
        <f>Source!X186</f>
        <v>602.2</v>
      </c>
      <c r="L259" s="14"/>
      <c r="X259">
        <f>ROUND((Source!FX186/100)*(ROUND((Source!CT186/IF(Source!BA186&lt;&gt;0,Source!BA186,1)*Source!I186),2)+ROUND((Source!CS186/IF(Source!BS186&lt;&gt;0,Source!BS186,1)*Source!I186),2)),2)</f>
        <v>39.65</v>
      </c>
    </row>
    <row r="260" spans="1:25" ht="15">
      <c r="A260" s="14"/>
      <c r="B260" s="14"/>
      <c r="C260" s="14" t="s">
        <v>74</v>
      </c>
      <c r="D260" s="17" t="s">
        <v>393</v>
      </c>
      <c r="E260" s="14"/>
      <c r="F260" s="16">
        <f>Source!CA186</f>
        <v>50</v>
      </c>
      <c r="G260" s="14"/>
      <c r="H260" s="16">
        <f>Y260</f>
        <v>26.79</v>
      </c>
      <c r="I260" s="14" t="str">
        <f>Source!FW186</f>
        <v>((*0.8))</v>
      </c>
      <c r="J260" s="16">
        <f>Source!AU186</f>
        <v>40</v>
      </c>
      <c r="K260" s="16">
        <f>Source!Y186</f>
        <v>382.35</v>
      </c>
      <c r="L260" s="14"/>
      <c r="Y260">
        <f>ROUND((Source!FY186/100)*(ROUND((Source!CT186/IF(Source!BA186&lt;&gt;0,Source!BA186,1)*Source!I186),2)+ROUND((Source!CS186/IF(Source!BS186&lt;&gt;0,Source!BS186,1)*Source!I186),2)),2)</f>
        <v>26.79</v>
      </c>
    </row>
    <row r="261" spans="1:12" ht="15">
      <c r="A261" s="34"/>
      <c r="B261" s="34"/>
      <c r="C261" s="34" t="s">
        <v>394</v>
      </c>
      <c r="D261" s="35" t="s">
        <v>395</v>
      </c>
      <c r="E261" s="34">
        <f>Source!AQ186</f>
        <v>2.27</v>
      </c>
      <c r="F261" s="34"/>
      <c r="G261" s="36">
        <f>Source!DI186</f>
      </c>
      <c r="H261" s="34"/>
      <c r="I261" s="34"/>
      <c r="J261" s="34"/>
      <c r="K261" s="34"/>
      <c r="L261" s="37">
        <f>Source!U186</f>
        <v>6.8100000000000005</v>
      </c>
    </row>
    <row r="262" spans="1:23" ht="15.75">
      <c r="A262" s="14"/>
      <c r="B262" s="14"/>
      <c r="C262" s="14"/>
      <c r="D262" s="14"/>
      <c r="E262" s="14"/>
      <c r="F262" s="14"/>
      <c r="G262" s="14"/>
      <c r="H262" s="38">
        <f>ROUND((Source!CT186/IF(Source!BA186&lt;&gt;0,Source!BA186,1)*Source!I186),2)+ROUND((Source!CR186/IF(Source!BB186&lt;&gt;0,Source!BB186,1)*Source!I186),2)+H259+H260</f>
        <v>120.01999999999998</v>
      </c>
      <c r="I262" s="39"/>
      <c r="J262" s="39"/>
      <c r="K262" s="38">
        <f>Source!S186+Source!Q186+K259+K260</f>
        <v>1940.42</v>
      </c>
      <c r="L262" s="38">
        <f>Source!U186</f>
        <v>6.8100000000000005</v>
      </c>
      <c r="M262" s="33">
        <f>H262</f>
        <v>120.01999999999998</v>
      </c>
      <c r="N262">
        <f>ROUND((Source!CT186/IF(Source!BA186&lt;&gt;0,Source!BA186,1)*Source!I186),2)</f>
        <v>53.58</v>
      </c>
      <c r="O262">
        <f>IF(Source!BI186=1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120.01919999999998</v>
      </c>
      <c r="P262">
        <f>IF(Source!BI186=2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Q262">
        <f>IF(Source!BI186=3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R262">
        <f>IF(Source!BI186=4,((((Source!CT186/IF(Source!BA186&lt;&gt;0,Source!BA186,1)*Source!I186)+(Source!CR186/IF(Source!BB186&lt;&gt;0,Source!BB186,1)*Source!I186)+(Source!CQ186/IF(Source!BC186&lt;&gt;0,Source!BC186,1)*Source!I186))+((Source!FX186/100)*((Source!CT186/IF(Source!BA186&lt;&gt;0,Source!BA186,1)*Source!I186)+(Source!CS186/IF(Source!BS186&lt;&gt;0,Source!BS186,1)*Source!I186)))+((Source!FY186/100)*((Source!CT186/IF(Source!BA186&lt;&gt;0,Source!BA186,1)*Source!I186)+(Source!CS186/IF(Source!BS186&lt;&gt;0,Source!BS186,1)*Source!I186))))),0)</f>
        <v>0</v>
      </c>
      <c r="S262">
        <f>IF(Source!BI186=1,Source!O186+Source!X186+Source!Y186,0)</f>
        <v>1940.42</v>
      </c>
      <c r="T262">
        <f>IF(Source!BI186=2,Source!O186+Source!X186+Source!Y186,0)</f>
        <v>0</v>
      </c>
      <c r="U262">
        <f>IF(Source!BI186=3,Source!O186+Source!X186+Source!Y186,0)</f>
        <v>0</v>
      </c>
      <c r="V262">
        <f>IF(Source!BI186=4,Source!O186+Source!X186+Source!Y186,0)</f>
        <v>0</v>
      </c>
      <c r="W262">
        <f>ROUND((Source!CS186/IF(Source!BS186&lt;&gt;0,Source!BS186,1)*Source!I186),2)</f>
        <v>0</v>
      </c>
    </row>
    <row r="263" spans="1:12" ht="30">
      <c r="A263" s="29" t="str">
        <f>Source!E187</f>
        <v>23</v>
      </c>
      <c r="B263" s="29" t="str">
        <f>Source!F187</f>
        <v>07-02-002-1</v>
      </c>
      <c r="C263" s="30" t="str">
        <f>Source!G187</f>
        <v>Установка  колец диаметром до 1000 мм</v>
      </c>
      <c r="D263" s="31" t="str">
        <f>Source!H187</f>
        <v>100 м3</v>
      </c>
      <c r="E263" s="14">
        <f>ROUND(Source!I187,6)</f>
        <v>0.00468</v>
      </c>
      <c r="F263" s="16">
        <f>IF(Source!AK187&lt;&gt;0,Source!AK187,Source!AL187+Source!AM187+Source!AO187)</f>
        <v>30053.649999999998</v>
      </c>
      <c r="G263" s="14"/>
      <c r="H263" s="14"/>
      <c r="I263" s="32" t="str">
        <f>IF(Source!BO187&lt;&gt;"",Source!BO187,"")</f>
        <v>07-02-002-1</v>
      </c>
      <c r="J263" s="14"/>
      <c r="K263" s="14"/>
      <c r="L263" s="14"/>
    </row>
    <row r="264" spans="1:12" ht="15">
      <c r="A264" s="14"/>
      <c r="B264" s="14"/>
      <c r="C264" s="14" t="s">
        <v>391</v>
      </c>
      <c r="D264" s="14"/>
      <c r="E264" s="14"/>
      <c r="F264" s="16">
        <f>Source!AO187</f>
        <v>4911.61</v>
      </c>
      <c r="G264" s="32">
        <f>Source!DG187</f>
      </c>
      <c r="H264" s="16">
        <f>ROUND((Source!CT187/IF(Source!BA187&lt;&gt;0,Source!BA187,1)*Source!I187),2)</f>
        <v>22.99</v>
      </c>
      <c r="I264" s="14"/>
      <c r="J264" s="14">
        <f>Source!BA187</f>
        <v>17.84</v>
      </c>
      <c r="K264" s="16">
        <f>Source!S187</f>
        <v>410.08</v>
      </c>
      <c r="L264" s="14"/>
    </row>
    <row r="265" spans="1:12" ht="15">
      <c r="A265" s="14"/>
      <c r="B265" s="14"/>
      <c r="C265" s="14" t="s">
        <v>58</v>
      </c>
      <c r="D265" s="14"/>
      <c r="E265" s="14"/>
      <c r="F265" s="16">
        <f>Source!AM187</f>
        <v>23787.17</v>
      </c>
      <c r="G265" s="32">
        <f>Source!DE187</f>
      </c>
      <c r="H265" s="16">
        <f>ROUND((Source!CR187/IF(Source!BB187&lt;&gt;0,Source!BB187,1)*Source!I187),2)</f>
        <v>111.32</v>
      </c>
      <c r="I265" s="14"/>
      <c r="J265" s="14">
        <f>Source!BB187</f>
        <v>6.76</v>
      </c>
      <c r="K265" s="16">
        <f>Source!Q187</f>
        <v>752.55</v>
      </c>
      <c r="L265" s="14"/>
    </row>
    <row r="266" spans="1:12" ht="15">
      <c r="A266" s="14"/>
      <c r="B266" s="14"/>
      <c r="C266" s="14" t="s">
        <v>396</v>
      </c>
      <c r="D266" s="14"/>
      <c r="E266" s="14"/>
      <c r="F266" s="16">
        <f>Source!AN187</f>
        <v>2264.76</v>
      </c>
      <c r="G266" s="32">
        <f>Source!DF187</f>
      </c>
      <c r="H266" s="40">
        <f>ROUND((Source!CS187/IF(Source!BS187&lt;&gt;0,Source!BS187,1)*Source!I187),2)</f>
        <v>10.6</v>
      </c>
      <c r="I266" s="14"/>
      <c r="J266" s="14">
        <f>Source!BS187</f>
        <v>17.84</v>
      </c>
      <c r="K266" s="40">
        <f>Source!R187</f>
        <v>189.09</v>
      </c>
      <c r="L266" s="14"/>
    </row>
    <row r="267" spans="1:12" ht="15">
      <c r="A267" s="14"/>
      <c r="B267" s="14"/>
      <c r="C267" s="14" t="s">
        <v>397</v>
      </c>
      <c r="D267" s="14"/>
      <c r="E267" s="14"/>
      <c r="F267" s="16">
        <f>Source!AL187</f>
        <v>1354.87</v>
      </c>
      <c r="G267" s="32">
        <f>Source!DD187</f>
      </c>
      <c r="H267" s="16">
        <f>ROUND((Source!CQ187/IF(Source!BC187&lt;&gt;0,Source!BC187,1)*Source!I187),2)</f>
        <v>6.34</v>
      </c>
      <c r="I267" s="14"/>
      <c r="J267" s="14">
        <f>Source!BC187</f>
        <v>5.62</v>
      </c>
      <c r="K267" s="16">
        <f>Source!P187</f>
        <v>35.64</v>
      </c>
      <c r="L267" s="14"/>
    </row>
    <row r="268" spans="1:24" ht="15">
      <c r="A268" s="14"/>
      <c r="B268" s="14"/>
      <c r="C268" s="14" t="s">
        <v>392</v>
      </c>
      <c r="D268" s="17" t="s">
        <v>393</v>
      </c>
      <c r="E268" s="14"/>
      <c r="F268" s="16">
        <f>Source!BZ187</f>
        <v>130</v>
      </c>
      <c r="G268" s="14"/>
      <c r="H268" s="16">
        <f>X268+X271</f>
        <v>43.67</v>
      </c>
      <c r="I268" s="14" t="str">
        <f>Source!FV187</f>
        <v>((*0.85))</v>
      </c>
      <c r="J268" s="16">
        <f>Source!AT187</f>
        <v>111</v>
      </c>
      <c r="K268" s="16">
        <f>Source!X187+Source!X188</f>
        <v>665.08</v>
      </c>
      <c r="L268" s="14"/>
      <c r="X268">
        <f>ROUND((Source!FX187/100)*(ROUND((Source!CT187/IF(Source!BA187&lt;&gt;0,Source!BA187,1)*Source!I187),2)+ROUND((Source!CS187/IF(Source!BS187&lt;&gt;0,Source!BS187,1)*Source!I187),2)),2)</f>
        <v>43.67</v>
      </c>
    </row>
    <row r="269" spans="1:25" ht="15">
      <c r="A269" s="14"/>
      <c r="B269" s="14"/>
      <c r="C269" s="14" t="s">
        <v>74</v>
      </c>
      <c r="D269" s="17" t="s">
        <v>393</v>
      </c>
      <c r="E269" s="14"/>
      <c r="F269" s="16">
        <f>Source!CA187</f>
        <v>85</v>
      </c>
      <c r="G269" s="14" t="str">
        <f>Source!FU187</f>
        <v>*0.85</v>
      </c>
      <c r="H269" s="16">
        <f>Y269+Y271</f>
        <v>24.27</v>
      </c>
      <c r="I269" s="14" t="str">
        <f>Source!FW187</f>
        <v>((*0.8))</v>
      </c>
      <c r="J269" s="16">
        <f>Source!AU187</f>
        <v>58</v>
      </c>
      <c r="K269" s="16">
        <f>Source!Y187+Source!Y188</f>
        <v>347.52</v>
      </c>
      <c r="L269" s="14"/>
      <c r="Y269">
        <f>ROUND((Source!FY187/100)*(ROUND((Source!CT187/IF(Source!BA187&lt;&gt;0,Source!BA187,1)*Source!I187),2)+ROUND((Source!CS187/IF(Source!BS187&lt;&gt;0,Source!BS187,1)*Source!I187),2)),2)</f>
        <v>24.27</v>
      </c>
    </row>
    <row r="270" spans="1:12" ht="15">
      <c r="A270" s="14"/>
      <c r="B270" s="14"/>
      <c r="C270" s="14" t="s">
        <v>394</v>
      </c>
      <c r="D270" s="17" t="s">
        <v>395</v>
      </c>
      <c r="E270" s="14">
        <f>Source!AQ187</f>
        <v>547.56</v>
      </c>
      <c r="F270" s="14"/>
      <c r="G270" s="32">
        <f>Source!DI187</f>
      </c>
      <c r="H270" s="14"/>
      <c r="I270" s="14"/>
      <c r="J270" s="14"/>
      <c r="K270" s="14"/>
      <c r="L270" s="16">
        <f>Source!U187</f>
        <v>2.5625807999999997</v>
      </c>
    </row>
    <row r="271" spans="1:25" ht="45">
      <c r="A271" s="42" t="str">
        <f>Source!E188</f>
        <v>23,1</v>
      </c>
      <c r="B271" s="42" t="str">
        <f>Source!F188</f>
        <v>403-0118</v>
      </c>
      <c r="C271" s="43" t="str">
        <f>Source!G188</f>
        <v>Кольца для колодцев сборные железобетонные диаметром 700 мм</v>
      </c>
      <c r="D271" s="44" t="str">
        <f>Source!H188</f>
        <v>м</v>
      </c>
      <c r="E271" s="34">
        <f>ROUND(Source!I188,6)</f>
        <v>2.25</v>
      </c>
      <c r="F271" s="37">
        <f>IF(Source!AL188=0,Source!AK188,Source!AL188)</f>
        <v>375.59</v>
      </c>
      <c r="G271" s="36">
        <f>Source!DD188</f>
      </c>
      <c r="H271" s="45">
        <f>ROUND((Source!CR188/IF(Source!BB188&lt;&gt;0,Source!BB188,1)*Source!I188),2)+ROUND((Source!CQ188/IF(Source!BC188&lt;&gt;0,Source!BC188,1)*Source!I188),2)+ROUND((Source!CT188/IF(Source!BA188&lt;&gt;0,Source!BA188,1)*Source!I188),2)</f>
        <v>845.08</v>
      </c>
      <c r="I271" s="36" t="str">
        <f>IF(Source!BO188&lt;&gt;"",Source!BO188,"")</f>
        <v>403-0118</v>
      </c>
      <c r="J271" s="34">
        <f>Source!BC188</f>
        <v>3.61</v>
      </c>
      <c r="K271" s="37">
        <f>Source!O188</f>
        <v>3050.73</v>
      </c>
      <c r="L271" s="34"/>
      <c r="N271">
        <f>ROUND((Source!CT188/IF(Source!BA188&lt;&gt;0,Source!BA188,1)*Source!I188),2)</f>
        <v>0</v>
      </c>
      <c r="O271">
        <f>IF(Source!BI188=1,(ROUND((Source!CR188/IF(Source!BB188&lt;&gt;0,Source!BB188,1)*Source!I188),2)+ROUND((Source!CQ188/IF(Source!BC188&lt;&gt;0,Source!BC188,1)*Source!I188),2)+ROUND((Source!CT188/IF(Source!BA188&lt;&gt;0,Source!BA188,1)*Source!I188),2)),0)</f>
        <v>845.08</v>
      </c>
      <c r="P271">
        <f>IF(Source!BI188=2,(ROUND((Source!CR188/IF(Source!BB188&lt;&gt;0,Source!BB188,1)*Source!I188),2)+ROUND((Source!CQ188/IF(Source!BC188&lt;&gt;0,Source!BC188,1)*Source!I188),2)+ROUND((Source!CT188/IF(Source!BA188&lt;&gt;0,Source!BA188,1)*Source!I188),2)),0)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Q271">
        <f>IF(Source!BI188=3,(ROUND((Source!CR188/IF(Source!BB188&lt;&gt;0,Source!BB188,1)*Source!I188),2)+ROUND((Source!CQ188/IF(Source!BC188&lt;&gt;0,Source!BC188,1)*Source!I188),2)+ROUND((Source!CT188/IF(Source!BA188&lt;&gt;0,Source!BA188,1)*Source!I188),2)),0)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R271">
        <f>IF(Source!BI188=4,(ROUND((Source!CR188/IF(Source!BB188&lt;&gt;0,Source!BB188,1)*Source!I188),2)+ROUND((Source!CQ188/IF(Source!BC188&lt;&gt;0,Source!BC188,1)*Source!I188),2)+ROUND((Source!CT188/IF(Source!BA188&lt;&gt;0,Source!BA188,1)*Source!I188),2)),0)</f>
        <v>0</v>
      </c>
      <c r="S271">
        <f>IF(Source!BI188=1,Source!O188+Source!X188+Source!Y188,0)</f>
        <v>3050.73</v>
      </c>
      <c r="T271">
        <f>IF(Source!BI188=2,Source!O188+Source!X188+Source!Y188,0)</f>
        <v>0</v>
      </c>
      <c r="U271">
        <f>IF(Source!BI188=3,Source!O188+Source!X188+Source!Y188,0)</f>
        <v>0</v>
      </c>
      <c r="V271">
        <f>IF(Source!BI188=4,Source!O188+Source!X188+Source!Y188,0)</f>
        <v>0</v>
      </c>
      <c r="W271">
        <f>ROUND((Source!CS188/IF(Source!BS188&lt;&gt;0,Source!BS188,1)*Source!I188),2)</f>
        <v>0</v>
      </c>
      <c r="X271">
        <f>ROUND((Source!FX188/100)*(ROUND((Source!CT188/IF(Source!BA188&lt;&gt;0,Source!BA188,1)*Source!I188),2)+ROUND((Source!CS188/IF(Source!BS188&lt;&gt;0,Source!BS188,1)*Source!I188),2)),2)</f>
        <v>0</v>
      </c>
      <c r="Y271">
        <f>ROUND((Source!FY188/100)*(ROUND((Source!CT188/IF(Source!BA188&lt;&gt;0,Source!BA188,1)*Source!I188),2)+ROUND((Source!CS188/IF(Source!BS188&lt;&gt;0,Source!BS188,1)*Source!I188),2)),2)</f>
        <v>0</v>
      </c>
    </row>
    <row r="272" spans="1:23" ht="15.75">
      <c r="A272" s="14"/>
      <c r="B272" s="14"/>
      <c r="C272" s="14"/>
      <c r="D272" s="14"/>
      <c r="E272" s="14"/>
      <c r="F272" s="14"/>
      <c r="G272" s="14"/>
      <c r="H272" s="38">
        <f>ROUND((Source!CT187/IF(Source!BA187&lt;&gt;0,Source!BA187,1)*Source!I187),2)+ROUND((Source!CR187/IF(Source!BB187&lt;&gt;0,Source!BB187,1)*Source!I187),2)+H267+H268+H269+H271</f>
        <v>1053.67</v>
      </c>
      <c r="I272" s="39"/>
      <c r="J272" s="39"/>
      <c r="K272" s="38">
        <f>Source!S187+Source!Q187+K267+K268+K269+K271</f>
        <v>5261.6</v>
      </c>
      <c r="L272" s="38">
        <f>Source!U187</f>
        <v>2.5625807999999997</v>
      </c>
      <c r="M272" s="33">
        <f>H272</f>
        <v>1053.67</v>
      </c>
      <c r="N272">
        <f>ROUND((Source!CT187/IF(Source!BA187&lt;&gt;0,Source!BA187,1)*Source!I187),2)</f>
        <v>22.99</v>
      </c>
      <c r="O272">
        <f>IF(Source!BI187=1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208.57757696099998</v>
      </c>
      <c r="P272">
        <f>IF(Source!BI187=2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Q272">
        <f>IF(Source!BI187=3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R272">
        <f>IF(Source!BI187=4,((((Source!CT187/IF(Source!BA187&lt;&gt;0,Source!BA187,1)*Source!I187)+(Source!CR187/IF(Source!BB187&lt;&gt;0,Source!BB187,1)*Source!I187)+(Source!CQ187/IF(Source!BC187&lt;&gt;0,Source!BC187,1)*Source!I187))+((Source!FX187/100)*((Source!CT187/IF(Source!BA187&lt;&gt;0,Source!BA187,1)*Source!I187)+(Source!CS187/IF(Source!BS187&lt;&gt;0,Source!BS187,1)*Source!I187)))+((Source!FY187/100)*((Source!CT187/IF(Source!BA187&lt;&gt;0,Source!BA187,1)*Source!I187)+(Source!CS187/IF(Source!BS187&lt;&gt;0,Source!BS187,1)*Source!I187))))),0)</f>
        <v>0</v>
      </c>
      <c r="S272">
        <f>IF(Source!BI187=1,Source!O187+Source!X187+Source!Y187,0)</f>
        <v>2210.87</v>
      </c>
      <c r="T272">
        <f>IF(Source!BI187=2,Source!O187+Source!X187+Source!Y187,0)</f>
        <v>0</v>
      </c>
      <c r="U272">
        <f>IF(Source!BI187=3,Source!O187+Source!X187+Source!Y187,0)</f>
        <v>0</v>
      </c>
      <c r="V272">
        <f>IF(Source!BI187=4,Source!O187+Source!X187+Source!Y187,0)</f>
        <v>0</v>
      </c>
      <c r="W272">
        <f>ROUND((Source!CS187/IF(Source!BS187&lt;&gt;0,Source!BS187,1)*Source!I187),2)</f>
        <v>10.6</v>
      </c>
    </row>
    <row r="273" spans="1:12" ht="30">
      <c r="A273" s="29" t="str">
        <f>Source!E189</f>
        <v>24</v>
      </c>
      <c r="B273" s="29" t="str">
        <f>Source!F189</f>
        <v>23-04-011-1</v>
      </c>
      <c r="C273" s="30" t="str">
        <f>Source!G189</f>
        <v>Установка люка</v>
      </c>
      <c r="D273" s="31" t="str">
        <f>Source!H189</f>
        <v>шт.</v>
      </c>
      <c r="E273" s="14">
        <f>ROUND(Source!I189,6)</f>
        <v>3</v>
      </c>
      <c r="F273" s="16">
        <f>IF(Source!AK189&lt;&gt;0,Source!AK189,Source!AL189+Source!AM189+Source!AO189)</f>
        <v>587.48</v>
      </c>
      <c r="G273" s="14"/>
      <c r="H273" s="14"/>
      <c r="I273" s="32" t="str">
        <f>IF(Source!BO189&lt;&gt;"",Source!BO189,"")</f>
        <v>23-04-011-1</v>
      </c>
      <c r="J273" s="14"/>
      <c r="K273" s="14"/>
      <c r="L273" s="14"/>
    </row>
    <row r="274" spans="1:12" ht="15">
      <c r="A274" s="14"/>
      <c r="B274" s="14"/>
      <c r="C274" s="14" t="s">
        <v>391</v>
      </c>
      <c r="D274" s="14"/>
      <c r="E274" s="14"/>
      <c r="F274" s="16">
        <f>Source!AO189</f>
        <v>11.32</v>
      </c>
      <c r="G274" s="32">
        <f>Source!DG189</f>
      </c>
      <c r="H274" s="16">
        <f>ROUND((Source!CT189/IF(Source!BA189&lt;&gt;0,Source!BA189,1)*Source!I189),2)</f>
        <v>33.96</v>
      </c>
      <c r="I274" s="14"/>
      <c r="J274" s="14">
        <f>Source!BA189</f>
        <v>17.84</v>
      </c>
      <c r="K274" s="16">
        <f>Source!S189</f>
        <v>605.85</v>
      </c>
      <c r="L274" s="14"/>
    </row>
    <row r="275" spans="1:12" ht="15">
      <c r="A275" s="14"/>
      <c r="B275" s="14"/>
      <c r="C275" s="14" t="s">
        <v>58</v>
      </c>
      <c r="D275" s="14"/>
      <c r="E275" s="14"/>
      <c r="F275" s="16">
        <f>Source!AM189</f>
        <v>6.1</v>
      </c>
      <c r="G275" s="32">
        <f>Source!DE189</f>
      </c>
      <c r="H275" s="16">
        <f>ROUND((Source!CR189/IF(Source!BB189&lt;&gt;0,Source!BB189,1)*Source!I189),2)</f>
        <v>18.3</v>
      </c>
      <c r="I275" s="14"/>
      <c r="J275" s="14">
        <f>Source!BB189</f>
        <v>7.46</v>
      </c>
      <c r="K275" s="16">
        <f>Source!Q189</f>
        <v>136.52</v>
      </c>
      <c r="L275" s="14"/>
    </row>
    <row r="276" spans="1:12" ht="15">
      <c r="A276" s="14"/>
      <c r="B276" s="14"/>
      <c r="C276" s="14" t="s">
        <v>397</v>
      </c>
      <c r="D276" s="14"/>
      <c r="E276" s="14"/>
      <c r="F276" s="16">
        <f>Source!AL189</f>
        <v>570.06</v>
      </c>
      <c r="G276" s="32">
        <f>Source!DD189</f>
      </c>
      <c r="H276" s="16">
        <f>ROUND((Source!CQ189/IF(Source!BC189&lt;&gt;0,Source!BC189,1)*Source!I189),2)</f>
        <v>1710.18</v>
      </c>
      <c r="I276" s="14"/>
      <c r="J276" s="14">
        <f>Source!BC189</f>
        <v>5.26</v>
      </c>
      <c r="K276" s="16">
        <f>Source!P189</f>
        <v>8995.55</v>
      </c>
      <c r="L276" s="14"/>
    </row>
    <row r="277" spans="1:24" ht="15">
      <c r="A277" s="14"/>
      <c r="B277" s="14"/>
      <c r="C277" s="14" t="s">
        <v>392</v>
      </c>
      <c r="D277" s="17" t="s">
        <v>393</v>
      </c>
      <c r="E277" s="14"/>
      <c r="F277" s="16">
        <f>Source!BZ189</f>
        <v>130</v>
      </c>
      <c r="G277" s="14"/>
      <c r="H277" s="16">
        <f>X277+X280</f>
        <v>44.15</v>
      </c>
      <c r="I277" s="14" t="str">
        <f>Source!FV189</f>
        <v>((*0.85))</v>
      </c>
      <c r="J277" s="16">
        <f>Source!AT189</f>
        <v>111</v>
      </c>
      <c r="K277" s="16">
        <f>Source!X189+Source!X190</f>
        <v>672.49</v>
      </c>
      <c r="L277" s="14"/>
      <c r="X277">
        <f>ROUND((Source!FX189/100)*(ROUND((Source!CT189/IF(Source!BA189&lt;&gt;0,Source!BA189,1)*Source!I189),2)+ROUND((Source!CS189/IF(Source!BS189&lt;&gt;0,Source!BS189,1)*Source!I189),2)),2)</f>
        <v>44.15</v>
      </c>
    </row>
    <row r="278" spans="1:25" ht="15">
      <c r="A278" s="14"/>
      <c r="B278" s="14"/>
      <c r="C278" s="14" t="s">
        <v>74</v>
      </c>
      <c r="D278" s="17" t="s">
        <v>393</v>
      </c>
      <c r="E278" s="14"/>
      <c r="F278" s="16">
        <f>Source!CA189</f>
        <v>89</v>
      </c>
      <c r="G278" s="14" t="str">
        <f>Source!FU189</f>
        <v>*0.85</v>
      </c>
      <c r="H278" s="16">
        <f>Y278+Y280</f>
        <v>25.69</v>
      </c>
      <c r="I278" s="14" t="str">
        <f>Source!FW189</f>
        <v>((*0.8))</v>
      </c>
      <c r="J278" s="16">
        <f>Source!AU189</f>
        <v>61</v>
      </c>
      <c r="K278" s="16">
        <f>Source!Y189+Source!Y190</f>
        <v>369.57</v>
      </c>
      <c r="L278" s="14"/>
      <c r="Y278">
        <f>ROUND((Source!FY189/100)*(ROUND((Source!CT189/IF(Source!BA189&lt;&gt;0,Source!BA189,1)*Source!I189),2)+ROUND((Source!CS189/IF(Source!BS189&lt;&gt;0,Source!BS189,1)*Source!I189),2)),2)</f>
        <v>25.69</v>
      </c>
    </row>
    <row r="279" spans="1:12" ht="15">
      <c r="A279" s="14"/>
      <c r="B279" s="14"/>
      <c r="C279" s="14" t="s">
        <v>394</v>
      </c>
      <c r="D279" s="17" t="s">
        <v>395</v>
      </c>
      <c r="E279" s="14">
        <f>Source!AQ189</f>
        <v>1.31</v>
      </c>
      <c r="F279" s="14"/>
      <c r="G279" s="32">
        <f>Source!DI189</f>
      </c>
      <c r="H279" s="14"/>
      <c r="I279" s="14"/>
      <c r="J279" s="14"/>
      <c r="K279" s="14"/>
      <c r="L279" s="16">
        <f>Source!U189</f>
        <v>3.93</v>
      </c>
    </row>
    <row r="280" spans="1:25" ht="30">
      <c r="A280" s="42" t="str">
        <f>Source!E190</f>
        <v>24,1</v>
      </c>
      <c r="B280" s="42" t="str">
        <f>Source!F190</f>
        <v>101-2536</v>
      </c>
      <c r="C280" s="43" t="str">
        <f>Source!G190</f>
        <v>Люки чугунные тяжелый</v>
      </c>
      <c r="D280" s="44" t="str">
        <f>Source!H190</f>
        <v>шт.</v>
      </c>
      <c r="E280" s="34">
        <f>ROUND(Source!I190,6)</f>
        <v>-3</v>
      </c>
      <c r="F280" s="37">
        <f>IF(Source!AL190=0,Source!AK190,Source!AL190)</f>
        <v>569.53</v>
      </c>
      <c r="G280" s="36">
        <f>Source!DD190</f>
      </c>
      <c r="H280" s="45">
        <f>ROUND((Source!CR190/IF(Source!BB190&lt;&gt;0,Source!BB190,1)*Source!I190),2)+ROUND((Source!CQ190/IF(Source!BC190&lt;&gt;0,Source!BC190,1)*Source!I190),2)+ROUND((Source!CT190/IF(Source!BA190&lt;&gt;0,Source!BA190,1)*Source!I190),2)</f>
        <v>-1708.59</v>
      </c>
      <c r="I280" s="36" t="str">
        <f>IF(Source!BO190&lt;&gt;"",Source!BO190,"")</f>
        <v>101-2536</v>
      </c>
      <c r="J280" s="34">
        <f>Source!BC190</f>
        <v>5.26</v>
      </c>
      <c r="K280" s="37">
        <f>Source!O190</f>
        <v>-8987.18</v>
      </c>
      <c r="L280" s="34"/>
      <c r="N280">
        <f>ROUND((Source!CT190/IF(Source!BA190&lt;&gt;0,Source!BA190,1)*Source!I190),2)</f>
        <v>0</v>
      </c>
      <c r="O280">
        <f>IF(Source!BI190=1,(ROUND((Source!CR190/IF(Source!BB190&lt;&gt;0,Source!BB190,1)*Source!I190),2)+ROUND((Source!CQ190/IF(Source!BC190&lt;&gt;0,Source!BC190,1)*Source!I190),2)+ROUND((Source!CT190/IF(Source!BA190&lt;&gt;0,Source!BA190,1)*Source!I190),2)),0)</f>
        <v>-1708.59</v>
      </c>
      <c r="P280">
        <f>IF(Source!BI190=2,(ROUND((Source!CR190/IF(Source!BB190&lt;&gt;0,Source!BB190,1)*Source!I190),2)+ROUND((Source!CQ190/IF(Source!BC190&lt;&gt;0,Source!BC190,1)*Source!I190),2)+ROUND((Source!CT190/IF(Source!BA190&lt;&gt;0,Source!BA190,1)*Source!I190),2)),0)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Q280">
        <f>IF(Source!BI190=3,(ROUND((Source!CR190/IF(Source!BB190&lt;&gt;0,Source!BB190,1)*Source!I190),2)+ROUND((Source!CQ190/IF(Source!BC190&lt;&gt;0,Source!BC190,1)*Source!I190),2)+ROUND((Source!CT190/IF(Source!BA190&lt;&gt;0,Source!BA190,1)*Source!I190),2)),0)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R280">
        <f>IF(Source!BI190=4,(ROUND((Source!CR190/IF(Source!BB190&lt;&gt;0,Source!BB190,1)*Source!I190),2)+ROUND((Source!CQ190/IF(Source!BC190&lt;&gt;0,Source!BC190,1)*Source!I190),2)+ROUND((Source!CT190/IF(Source!BA190&lt;&gt;0,Source!BA190,1)*Source!I190),2)),0)</f>
        <v>0</v>
      </c>
      <c r="S280">
        <f>IF(Source!BI190=1,Source!O190+Source!X190+Source!Y190,0)</f>
        <v>-8987.18</v>
      </c>
      <c r="T280">
        <f>IF(Source!BI190=2,Source!O190+Source!X190+Source!Y190,0)</f>
        <v>0</v>
      </c>
      <c r="U280">
        <f>IF(Source!BI190=3,Source!O190+Source!X190+Source!Y190,0)</f>
        <v>0</v>
      </c>
      <c r="V280">
        <f>IF(Source!BI190=4,Source!O190+Source!X190+Source!Y190,0)</f>
        <v>0</v>
      </c>
      <c r="W280">
        <f>ROUND((Source!CS190/IF(Source!BS190&lt;&gt;0,Source!BS190,1)*Source!I190),2)</f>
        <v>0</v>
      </c>
      <c r="X280">
        <f>ROUND((Source!FX190/100)*(ROUND((Source!CT190/IF(Source!BA190&lt;&gt;0,Source!BA190,1)*Source!I190),2)+ROUND((Source!CS190/IF(Source!BS190&lt;&gt;0,Source!BS190,1)*Source!I190),2)),2)</f>
        <v>0</v>
      </c>
      <c r="Y280">
        <f>ROUND((Source!FY190/100)*(ROUND((Source!CT190/IF(Source!BA190&lt;&gt;0,Source!BA190,1)*Source!I190),2)+ROUND((Source!CS190/IF(Source!BS190&lt;&gt;0,Source!BS190,1)*Source!I190),2)),2)</f>
        <v>0</v>
      </c>
    </row>
    <row r="281" spans="1:23" ht="15.75">
      <c r="A281" s="14"/>
      <c r="B281" s="14"/>
      <c r="C281" s="14"/>
      <c r="D281" s="14"/>
      <c r="E281" s="14"/>
      <c r="F281" s="14"/>
      <c r="G281" s="14"/>
      <c r="H281" s="38">
        <f>ROUND((Source!CT189/IF(Source!BA189&lt;&gt;0,Source!BA189,1)*Source!I189),2)+ROUND((Source!CR189/IF(Source!BB189&lt;&gt;0,Source!BB189,1)*Source!I189),2)+H276+H277+H278+H280</f>
        <v>123.69000000000028</v>
      </c>
      <c r="I281" s="39"/>
      <c r="J281" s="39"/>
      <c r="K281" s="38">
        <f>Source!S189+Source!Q189+K276+K277+K278+K280</f>
        <v>1792.7999999999993</v>
      </c>
      <c r="L281" s="38">
        <f>Source!U189</f>
        <v>3.93</v>
      </c>
      <c r="M281" s="33">
        <f>H281</f>
        <v>123.69000000000028</v>
      </c>
      <c r="N281">
        <f>ROUND((Source!CT189/IF(Source!BA189&lt;&gt;0,Source!BA189,1)*Source!I189),2)</f>
        <v>33.96</v>
      </c>
      <c r="O281">
        <f>IF(Source!BI189=1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1832.2787399999997</v>
      </c>
      <c r="P281">
        <f>IF(Source!BI189=2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Q281">
        <f>IF(Source!BI189=3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R281">
        <f>IF(Source!BI189=4,((((Source!CT189/IF(Source!BA189&lt;&gt;0,Source!BA189,1)*Source!I189)+(Source!CR189/IF(Source!BB189&lt;&gt;0,Source!BB189,1)*Source!I189)+(Source!CQ189/IF(Source!BC189&lt;&gt;0,Source!BC189,1)*Source!I189))+((Source!FX189/100)*((Source!CT189/IF(Source!BA189&lt;&gt;0,Source!BA189,1)*Source!I189)+(Source!CS189/IF(Source!BS189&lt;&gt;0,Source!BS189,1)*Source!I189)))+((Source!FY189/100)*((Source!CT189/IF(Source!BA189&lt;&gt;0,Source!BA189,1)*Source!I189)+(Source!CS189/IF(Source!BS189&lt;&gt;0,Source!BS189,1)*Source!I189))))),0)</f>
        <v>0</v>
      </c>
      <c r="S281">
        <f>IF(Source!BI189=1,Source!O189+Source!X189+Source!Y189,0)</f>
        <v>10779.98</v>
      </c>
      <c r="T281">
        <f>IF(Source!BI189=2,Source!O189+Source!X189+Source!Y189,0)</f>
        <v>0</v>
      </c>
      <c r="U281">
        <f>IF(Source!BI189=3,Source!O189+Source!X189+Source!Y189,0)</f>
        <v>0</v>
      </c>
      <c r="V281">
        <f>IF(Source!BI189=4,Source!O189+Source!X189+Source!Y189,0)</f>
        <v>0</v>
      </c>
      <c r="W281">
        <f>ROUND((Source!CS189/IF(Source!BS189&lt;&gt;0,Source!BS189,1)*Source!I189),2)</f>
        <v>0</v>
      </c>
    </row>
    <row r="283" spans="3:23" s="39" customFormat="1" ht="15.75">
      <c r="C283" s="39" t="s">
        <v>176</v>
      </c>
      <c r="G283" s="107">
        <f>SUM(M257:M282)</f>
        <v>1297.3800000000003</v>
      </c>
      <c r="H283" s="107"/>
      <c r="J283" s="107">
        <f>ROUND(Source!AB184+Source!AK184+Source!AL184+Source!AE184*0/100,2)</f>
        <v>8994.82</v>
      </c>
      <c r="K283" s="107"/>
      <c r="L283" s="38">
        <f>Source!AH184</f>
        <v>13.3</v>
      </c>
      <c r="N283" s="38">
        <f aca="true" t="shared" si="6" ref="N283:W283">SUM(N257:N282)</f>
        <v>110.53</v>
      </c>
      <c r="O283" s="38">
        <f t="shared" si="6"/>
        <v>1297.365516961</v>
      </c>
      <c r="P283" s="38">
        <f t="shared" si="6"/>
        <v>0</v>
      </c>
      <c r="Q283" s="38">
        <f t="shared" si="6"/>
        <v>0</v>
      </c>
      <c r="R283" s="38">
        <f t="shared" si="6"/>
        <v>0</v>
      </c>
      <c r="S283" s="38">
        <f t="shared" si="6"/>
        <v>8994.82</v>
      </c>
      <c r="T283" s="38">
        <f t="shared" si="6"/>
        <v>0</v>
      </c>
      <c r="U283" s="38">
        <f t="shared" si="6"/>
        <v>0</v>
      </c>
      <c r="V283" s="38">
        <f t="shared" si="6"/>
        <v>0</v>
      </c>
      <c r="W283" s="39">
        <f t="shared" si="6"/>
        <v>10.6</v>
      </c>
    </row>
    <row r="286" spans="3:23" s="46" customFormat="1" ht="18" hidden="1">
      <c r="C286" s="46" t="s">
        <v>398</v>
      </c>
      <c r="G286" s="105">
        <f>G74+G111+G143+G175+G207+G253+G283</f>
        <v>127801.76000000001</v>
      </c>
      <c r="H286" s="105"/>
      <c r="J286" s="105">
        <f>ROUND(Source!O208+Source!X208+Source!Y208+Source!R208*0/100,2)</f>
        <v>866897.72</v>
      </c>
      <c r="K286" s="105"/>
      <c r="L286" s="47">
        <f>Source!U208</f>
        <v>309.56</v>
      </c>
      <c r="N286" s="47">
        <f aca="true" t="shared" si="7" ref="N286:W286">N74+N111+N143+N175+N207+N253+N283</f>
        <v>2602.13</v>
      </c>
      <c r="O286" s="47">
        <f t="shared" si="7"/>
        <v>126090.082576016</v>
      </c>
      <c r="P286" s="47">
        <f t="shared" si="7"/>
        <v>0</v>
      </c>
      <c r="Q286" s="47">
        <f t="shared" si="7"/>
        <v>0</v>
      </c>
      <c r="R286" s="47">
        <f t="shared" si="7"/>
        <v>1711.71</v>
      </c>
      <c r="S286" s="47">
        <f t="shared" si="7"/>
        <v>857791.4199999999</v>
      </c>
      <c r="T286" s="47">
        <f t="shared" si="7"/>
        <v>0</v>
      </c>
      <c r="U286" s="47">
        <f t="shared" si="7"/>
        <v>0</v>
      </c>
      <c r="V286" s="47">
        <f t="shared" si="7"/>
        <v>9106.3</v>
      </c>
      <c r="W286" s="46">
        <f t="shared" si="7"/>
        <v>895.9300000000001</v>
      </c>
    </row>
    <row r="288" spans="3:11" ht="18">
      <c r="C288" s="46" t="s">
        <v>399</v>
      </c>
      <c r="D288" s="106" t="str">
        <f>Source!G224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E288" s="106"/>
      <c r="F288" s="106"/>
      <c r="G288" s="106"/>
      <c r="H288" s="106"/>
      <c r="I288" s="106"/>
      <c r="J288" s="106"/>
      <c r="K288" s="106"/>
    </row>
    <row r="289" spans="3:12" ht="18">
      <c r="C289" s="102" t="str">
        <f>Source!H239</f>
        <v>Итого</v>
      </c>
      <c r="D289" s="102"/>
      <c r="E289" s="102"/>
      <c r="F289" s="102"/>
      <c r="G289" s="102"/>
      <c r="H289" s="102"/>
      <c r="I289" s="102"/>
      <c r="J289" s="103">
        <f>Source!F239</f>
        <v>866897.72</v>
      </c>
      <c r="K289" s="104"/>
      <c r="L289" s="48"/>
    </row>
    <row r="290" spans="3:12" ht="18">
      <c r="C290" s="102" t="str">
        <f>Source!H240</f>
        <v>НДС 18%</v>
      </c>
      <c r="D290" s="102"/>
      <c r="E290" s="102"/>
      <c r="F290" s="102"/>
      <c r="G290" s="102"/>
      <c r="H290" s="102"/>
      <c r="I290" s="102"/>
      <c r="J290" s="103">
        <f>Source!F240</f>
        <v>156041.59</v>
      </c>
      <c r="K290" s="104"/>
      <c r="L290" s="48"/>
    </row>
    <row r="291" spans="1:12" ht="20.25">
      <c r="A291" s="80"/>
      <c r="B291" s="80"/>
      <c r="C291" s="130" t="str">
        <f>Source!H241</f>
        <v>Всего</v>
      </c>
      <c r="D291" s="130"/>
      <c r="E291" s="130"/>
      <c r="F291" s="130"/>
      <c r="G291" s="130"/>
      <c r="H291" s="130"/>
      <c r="I291" s="130"/>
      <c r="J291" s="131">
        <f>Source!F241</f>
        <v>1022939.31</v>
      </c>
      <c r="K291" s="132"/>
      <c r="L291" s="80"/>
    </row>
    <row r="293" spans="3:23" s="46" customFormat="1" ht="18" hidden="1">
      <c r="C293" s="46" t="s">
        <v>399</v>
      </c>
      <c r="G293" s="105">
        <f>SUM(M1:M293)</f>
        <v>127801.76</v>
      </c>
      <c r="H293" s="105"/>
      <c r="J293" s="105">
        <f>ROUND(Source!O18+Source!X18+Source!Y18+Source!R18*0/100,2)</f>
        <v>866897.72</v>
      </c>
      <c r="K293" s="105"/>
      <c r="L293" s="47">
        <f>Source!U18</f>
        <v>309.56</v>
      </c>
      <c r="N293" s="47">
        <f aca="true" t="shared" si="8" ref="N293:W293">N74+N111+N143+N175+N207+N253+N283</f>
        <v>2602.13</v>
      </c>
      <c r="O293" s="47">
        <f t="shared" si="8"/>
        <v>126090.082576016</v>
      </c>
      <c r="P293" s="47">
        <f t="shared" si="8"/>
        <v>0</v>
      </c>
      <c r="Q293" s="47">
        <f t="shared" si="8"/>
        <v>0</v>
      </c>
      <c r="R293" s="47">
        <f t="shared" si="8"/>
        <v>1711.71</v>
      </c>
      <c r="S293" s="47">
        <f t="shared" si="8"/>
        <v>857791.4199999999</v>
      </c>
      <c r="T293" s="47">
        <f t="shared" si="8"/>
        <v>0</v>
      </c>
      <c r="U293" s="47">
        <f t="shared" si="8"/>
        <v>0</v>
      </c>
      <c r="V293" s="47">
        <f t="shared" si="8"/>
        <v>9106.3</v>
      </c>
      <c r="W293" s="46">
        <f t="shared" si="8"/>
        <v>895.9300000000001</v>
      </c>
    </row>
    <row r="295" spans="1:8" s="4" customFormat="1" ht="12.75">
      <c r="A295" s="4" t="s">
        <v>400</v>
      </c>
      <c r="C295" s="49" t="str">
        <f>IF(Source!AO12&lt;&gt;"",Source!AO12," ")</f>
        <v> </v>
      </c>
      <c r="D295" s="49"/>
      <c r="E295" s="49"/>
      <c r="F295" s="49"/>
      <c r="G295" s="49"/>
      <c r="H295" s="4" t="str">
        <f>IF(Source!R12&lt;&gt;"",Source!R12," ")</f>
        <v> </v>
      </c>
    </row>
    <row r="296" spans="3:7" s="5" customFormat="1" ht="11.25">
      <c r="C296" s="101" t="s">
        <v>401</v>
      </c>
      <c r="D296" s="101"/>
      <c r="E296" s="101"/>
      <c r="F296" s="101"/>
      <c r="G296" s="101"/>
    </row>
    <row r="298" spans="1:8" s="4" customFormat="1" ht="12.75">
      <c r="A298" s="4" t="s">
        <v>402</v>
      </c>
      <c r="C298" s="49" t="str">
        <f>IF(Source!AP12&lt;&gt;"",Source!AP12," ")</f>
        <v> </v>
      </c>
      <c r="D298" s="49"/>
      <c r="E298" s="49"/>
      <c r="F298" s="49"/>
      <c r="G298" s="49"/>
      <c r="H298" s="4" t="str">
        <f>IF(Source!S12&lt;&gt;"",Source!S12," ")</f>
        <v> </v>
      </c>
    </row>
    <row r="299" spans="3:7" s="5" customFormat="1" ht="11.25">
      <c r="C299" s="101" t="s">
        <v>401</v>
      </c>
      <c r="D299" s="101"/>
      <c r="E299" s="101"/>
      <c r="F299" s="101"/>
      <c r="G299" s="101"/>
    </row>
  </sheetData>
  <sheetProtection/>
  <mergeCells count="81">
    <mergeCell ref="C289:I289"/>
    <mergeCell ref="J289:K289"/>
    <mergeCell ref="C296:G296"/>
    <mergeCell ref="C299:G299"/>
    <mergeCell ref="C290:I290"/>
    <mergeCell ref="J290:K290"/>
    <mergeCell ref="J293:K293"/>
    <mergeCell ref="G293:H293"/>
    <mergeCell ref="C291:I291"/>
    <mergeCell ref="J291:K291"/>
    <mergeCell ref="J253:K253"/>
    <mergeCell ref="G253:H253"/>
    <mergeCell ref="D255:L255"/>
    <mergeCell ref="J283:K283"/>
    <mergeCell ref="G283:H283"/>
    <mergeCell ref="J286:K286"/>
    <mergeCell ref="G286:H286"/>
    <mergeCell ref="D288:K288"/>
    <mergeCell ref="J175:K175"/>
    <mergeCell ref="G175:H175"/>
    <mergeCell ref="D177:L177"/>
    <mergeCell ref="J207:K207"/>
    <mergeCell ref="G207:H207"/>
    <mergeCell ref="D43:L43"/>
    <mergeCell ref="J74:K74"/>
    <mergeCell ref="G74:H74"/>
    <mergeCell ref="D209:L209"/>
    <mergeCell ref="J111:K111"/>
    <mergeCell ref="G111:H111"/>
    <mergeCell ref="D113:L113"/>
    <mergeCell ref="J143:K143"/>
    <mergeCell ref="G143:H143"/>
    <mergeCell ref="D145:L145"/>
    <mergeCell ref="D76:L76"/>
    <mergeCell ref="C32:F32"/>
    <mergeCell ref="G32:H32"/>
    <mergeCell ref="I32:J32"/>
    <mergeCell ref="K32:L32"/>
    <mergeCell ref="C33:F33"/>
    <mergeCell ref="G33:H33"/>
    <mergeCell ref="I33:J33"/>
    <mergeCell ref="K33:L33"/>
    <mergeCell ref="A35:C35"/>
    <mergeCell ref="C30:F30"/>
    <mergeCell ref="G30:H30"/>
    <mergeCell ref="I30:J30"/>
    <mergeCell ref="K30:L30"/>
    <mergeCell ref="C31:F31"/>
    <mergeCell ref="G31:H31"/>
    <mergeCell ref="I31:J31"/>
    <mergeCell ref="K31:L31"/>
    <mergeCell ref="K29:L29"/>
    <mergeCell ref="C28:F28"/>
    <mergeCell ref="G28:H28"/>
    <mergeCell ref="I28:J28"/>
    <mergeCell ref="K28:L28"/>
    <mergeCell ref="G26:H26"/>
    <mergeCell ref="I26:J26"/>
    <mergeCell ref="C29:F29"/>
    <mergeCell ref="G29:H29"/>
    <mergeCell ref="I29:J29"/>
    <mergeCell ref="A12:L12"/>
    <mergeCell ref="G14:H14"/>
    <mergeCell ref="I14:L14"/>
    <mergeCell ref="C27:F27"/>
    <mergeCell ref="G27:H27"/>
    <mergeCell ref="I27:J27"/>
    <mergeCell ref="K27:L27"/>
    <mergeCell ref="B20:L20"/>
    <mergeCell ref="B21:L21"/>
    <mergeCell ref="A23:L23"/>
    <mergeCell ref="A16:L16"/>
    <mergeCell ref="B18:L18"/>
    <mergeCell ref="F3:I3"/>
    <mergeCell ref="A5:B5"/>
    <mergeCell ref="F5:H5"/>
    <mergeCell ref="C5:D5"/>
    <mergeCell ref="I5:K5"/>
    <mergeCell ref="C7:D7"/>
    <mergeCell ref="H7:K7"/>
    <mergeCell ref="A11:L11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K261"/>
  <sheetViews>
    <sheetView zoomScalePageLayoutView="0" workbookViewId="0" topLeftCell="A232">
      <selection activeCell="G224" sqref="G224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26408</v>
      </c>
    </row>
    <row r="12" spans="1:104" ht="12.75">
      <c r="A12" s="1">
        <v>1</v>
      </c>
      <c r="B12" s="1">
        <v>1</v>
      </c>
      <c r="C12" s="1">
        <v>0</v>
      </c>
      <c r="D12" s="1">
        <f>ROW(A224)</f>
        <v>224</v>
      </c>
      <c r="E12" s="1">
        <v>0</v>
      </c>
      <c r="F12" s="1" t="s">
        <v>4</v>
      </c>
      <c r="G12" s="1" t="s">
        <v>441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2012</v>
      </c>
      <c r="Q12" s="1">
        <v>6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27550411</v>
      </c>
      <c r="BE12" s="1" t="s">
        <v>6</v>
      </c>
      <c r="BF12" s="1" t="s">
        <v>7</v>
      </c>
      <c r="BG12" s="1">
        <v>24421098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24419778</v>
      </c>
      <c r="CB12" s="1">
        <v>24419774</v>
      </c>
      <c r="CC12" s="1">
        <v>24419772</v>
      </c>
      <c r="CD12" s="1">
        <v>24419770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24450669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22761340</v>
      </c>
      <c r="CT12" s="1">
        <v>0</v>
      </c>
      <c r="CU12" s="1">
        <v>0</v>
      </c>
      <c r="CV12" s="1">
        <v>24644847</v>
      </c>
      <c r="CW12" s="1">
        <v>24644850</v>
      </c>
      <c r="CX12" s="1">
        <v>27232788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B224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752421.97</v>
      </c>
      <c r="P18" s="2">
        <f t="shared" si="0"/>
        <v>640677.32</v>
      </c>
      <c r="Q18" s="2">
        <f t="shared" si="0"/>
        <v>65324.28</v>
      </c>
      <c r="R18" s="2">
        <f t="shared" si="0"/>
        <v>15974.95</v>
      </c>
      <c r="S18" s="2">
        <f t="shared" si="0"/>
        <v>46420.37</v>
      </c>
      <c r="T18" s="2">
        <f t="shared" si="0"/>
        <v>0</v>
      </c>
      <c r="U18" s="2">
        <f t="shared" si="0"/>
        <v>309.56</v>
      </c>
      <c r="V18" s="2">
        <f t="shared" si="0"/>
        <v>65.88</v>
      </c>
      <c r="W18" s="2">
        <f t="shared" si="0"/>
        <v>0</v>
      </c>
      <c r="X18" s="2">
        <f t="shared" si="0"/>
        <v>74485.67</v>
      </c>
      <c r="Y18" s="2">
        <f t="shared" si="0"/>
        <v>39990.08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ROW(A208)</f>
        <v>208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B208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752421.97</v>
      </c>
      <c r="P22" s="2">
        <f t="shared" si="1"/>
        <v>640677.32</v>
      </c>
      <c r="Q22" s="2">
        <f t="shared" si="1"/>
        <v>65324.28</v>
      </c>
      <c r="R22" s="2">
        <f t="shared" si="1"/>
        <v>15974.95</v>
      </c>
      <c r="S22" s="2">
        <f t="shared" si="1"/>
        <v>46420.37</v>
      </c>
      <c r="T22" s="2">
        <f t="shared" si="1"/>
        <v>0</v>
      </c>
      <c r="U22" s="2">
        <f t="shared" si="1"/>
        <v>309.56</v>
      </c>
      <c r="V22" s="2">
        <f t="shared" si="1"/>
        <v>65.88</v>
      </c>
      <c r="W22" s="2">
        <f t="shared" si="1"/>
        <v>0</v>
      </c>
      <c r="X22" s="2">
        <f t="shared" si="1"/>
        <v>74485.67</v>
      </c>
      <c r="Y22" s="2">
        <f t="shared" si="1"/>
        <v>39990.08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ROW(A36)</f>
        <v>36</v>
      </c>
      <c r="E24" s="1"/>
      <c r="F24" s="1" t="s">
        <v>14</v>
      </c>
      <c r="G24" s="1" t="s">
        <v>15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3</v>
      </c>
      <c r="AP24" s="1" t="s">
        <v>3</v>
      </c>
      <c r="AQ24" s="1" t="s">
        <v>3</v>
      </c>
      <c r="AR24" s="1"/>
      <c r="AS24" s="1"/>
      <c r="AT24" s="1" t="s">
        <v>3</v>
      </c>
      <c r="AU24" s="1" t="s">
        <v>3</v>
      </c>
      <c r="AV24" s="1" t="s">
        <v>3</v>
      </c>
      <c r="AW24" s="1" t="s">
        <v>3</v>
      </c>
      <c r="AX24" s="1" t="s">
        <v>3</v>
      </c>
      <c r="AY24" s="1" t="s">
        <v>3</v>
      </c>
      <c r="AZ24" s="1" t="s">
        <v>3</v>
      </c>
      <c r="BA24" s="1" t="s">
        <v>3</v>
      </c>
      <c r="BB24" s="1" t="s">
        <v>3</v>
      </c>
      <c r="BC24" s="1" t="s">
        <v>3</v>
      </c>
      <c r="BD24" s="1" t="s">
        <v>3</v>
      </c>
      <c r="BE24" s="1" t="s">
        <v>16</v>
      </c>
      <c r="BF24" s="1">
        <v>0</v>
      </c>
      <c r="BG24" s="1">
        <v>0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>
        <v>0</v>
      </c>
      <c r="BN24" s="1" t="s">
        <v>3</v>
      </c>
      <c r="BO24" s="1">
        <v>0</v>
      </c>
    </row>
    <row r="26" spans="1:43" ht="12.75">
      <c r="A26" s="2">
        <v>52</v>
      </c>
      <c r="B26" s="2">
        <f aca="true" t="shared" si="2" ref="B26:AQ26">B36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Замена бортового камня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94153.65</v>
      </c>
      <c r="P26" s="2">
        <f t="shared" si="2"/>
        <v>63034.08</v>
      </c>
      <c r="Q26" s="2">
        <f t="shared" si="2"/>
        <v>788.1</v>
      </c>
      <c r="R26" s="2">
        <f t="shared" si="2"/>
        <v>226</v>
      </c>
      <c r="S26" s="2">
        <f t="shared" si="2"/>
        <v>30331.47</v>
      </c>
      <c r="T26" s="2">
        <f t="shared" si="2"/>
        <v>0</v>
      </c>
      <c r="U26" s="2">
        <f t="shared" si="2"/>
        <v>206.23</v>
      </c>
      <c r="V26" s="2">
        <f t="shared" si="2"/>
        <v>0.94</v>
      </c>
      <c r="W26" s="2">
        <f t="shared" si="2"/>
        <v>0</v>
      </c>
      <c r="X26" s="2">
        <f t="shared" si="2"/>
        <v>36974.54</v>
      </c>
      <c r="Y26" s="2">
        <f t="shared" si="2"/>
        <v>19862.36</v>
      </c>
      <c r="Z26" s="2">
        <f t="shared" si="2"/>
        <v>0</v>
      </c>
      <c r="AA26" s="2">
        <f t="shared" si="2"/>
        <v>0</v>
      </c>
      <c r="AB26" s="2">
        <f t="shared" si="2"/>
        <v>94153.65</v>
      </c>
      <c r="AC26" s="2">
        <f t="shared" si="2"/>
        <v>63034.08</v>
      </c>
      <c r="AD26" s="2">
        <f t="shared" si="2"/>
        <v>788.1</v>
      </c>
      <c r="AE26" s="2">
        <f t="shared" si="2"/>
        <v>226</v>
      </c>
      <c r="AF26" s="2">
        <f t="shared" si="2"/>
        <v>30331.47</v>
      </c>
      <c r="AG26" s="2">
        <f t="shared" si="2"/>
        <v>0</v>
      </c>
      <c r="AH26" s="2">
        <f t="shared" si="2"/>
        <v>206.23</v>
      </c>
      <c r="AI26" s="2">
        <f t="shared" si="2"/>
        <v>0.94</v>
      </c>
      <c r="AJ26" s="2">
        <f t="shared" si="2"/>
        <v>0</v>
      </c>
      <c r="AK26" s="2">
        <f t="shared" si="2"/>
        <v>36974.54</v>
      </c>
      <c r="AL26" s="2">
        <f t="shared" si="2"/>
        <v>19862.36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93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17</v>
      </c>
      <c r="F28" t="s">
        <v>18</v>
      </c>
      <c r="G28" t="s">
        <v>19</v>
      </c>
      <c r="H28" t="s">
        <v>20</v>
      </c>
      <c r="I28">
        <v>1.32</v>
      </c>
      <c r="J28">
        <v>0</v>
      </c>
      <c r="O28">
        <f aca="true" t="shared" si="3" ref="O28:O34">ROUND(CP28,2)</f>
        <v>14485.57</v>
      </c>
      <c r="P28">
        <f aca="true" t="shared" si="4" ref="P28:P34">ROUND(CQ28*I28,2)</f>
        <v>0</v>
      </c>
      <c r="Q28">
        <f aca="true" t="shared" si="5" ref="Q28:Q34">ROUND(CR28*I28,2)</f>
        <v>0</v>
      </c>
      <c r="R28">
        <f aca="true" t="shared" si="6" ref="R28:R34">ROUND(CS28*I28,2)</f>
        <v>0</v>
      </c>
      <c r="S28">
        <f aca="true" t="shared" si="7" ref="S28:S34">ROUND(CT28*I28,2)</f>
        <v>14485.57</v>
      </c>
      <c r="T28">
        <f aca="true" t="shared" si="8" ref="T28:T34">ROUND(CU28*I28,2)</f>
        <v>0</v>
      </c>
      <c r="U28">
        <f aca="true" t="shared" si="9" ref="U28:U34">CV28*I28</f>
        <v>101.24400000000001</v>
      </c>
      <c r="V28">
        <f aca="true" t="shared" si="10" ref="V28:V34">CW28*I28</f>
        <v>0</v>
      </c>
      <c r="W28">
        <f aca="true" t="shared" si="11" ref="W28:W34">ROUND(CX28*I28,2)</f>
        <v>0</v>
      </c>
      <c r="X28">
        <f aca="true" t="shared" si="12" ref="X28:Y34">ROUND(CY28,2)</f>
        <v>17527.54</v>
      </c>
      <c r="Y28">
        <f t="shared" si="12"/>
        <v>9415.62</v>
      </c>
      <c r="AA28">
        <v>0</v>
      </c>
      <c r="AB28">
        <f aca="true" t="shared" si="13" ref="AB28:AB34">(AC28+AD28+AF28)</f>
        <v>615.13</v>
      </c>
      <c r="AC28">
        <f aca="true" t="shared" si="14" ref="AC28:AF29">(ES28)</f>
        <v>0</v>
      </c>
      <c r="AD28">
        <f t="shared" si="14"/>
        <v>0</v>
      </c>
      <c r="AE28">
        <f t="shared" si="14"/>
        <v>0</v>
      </c>
      <c r="AF28">
        <f t="shared" si="14"/>
        <v>615.13</v>
      </c>
      <c r="AG28">
        <f>(AP28)</f>
        <v>0</v>
      </c>
      <c r="AH28">
        <f>(EW28)</f>
        <v>76.7</v>
      </c>
      <c r="AI28">
        <f>(EX28)</f>
        <v>0</v>
      </c>
      <c r="AJ28">
        <f>(AS28)</f>
        <v>0</v>
      </c>
      <c r="AK28">
        <v>615.13</v>
      </c>
      <c r="AL28">
        <v>0</v>
      </c>
      <c r="AM28">
        <v>0</v>
      </c>
      <c r="AN28">
        <v>0</v>
      </c>
      <c r="AO28">
        <v>615.13</v>
      </c>
      <c r="AP28">
        <v>0</v>
      </c>
      <c r="AQ28">
        <v>76.7</v>
      </c>
      <c r="AR28">
        <v>0</v>
      </c>
      <c r="AS28">
        <v>0</v>
      </c>
      <c r="AT28">
        <v>121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15.72</v>
      </c>
      <c r="BA28">
        <v>17.84</v>
      </c>
      <c r="BB28">
        <v>1</v>
      </c>
      <c r="BC28">
        <v>1</v>
      </c>
      <c r="BH28">
        <v>0</v>
      </c>
      <c r="BI28">
        <v>1</v>
      </c>
      <c r="BJ28" t="s">
        <v>21</v>
      </c>
      <c r="BM28">
        <v>27001</v>
      </c>
      <c r="BN28">
        <v>0</v>
      </c>
      <c r="BO28" t="s">
        <v>18</v>
      </c>
      <c r="BP28">
        <v>1</v>
      </c>
      <c r="BQ28">
        <v>2</v>
      </c>
      <c r="BR28">
        <v>0</v>
      </c>
      <c r="BS28">
        <v>17.84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142</v>
      </c>
      <c r="CA28">
        <v>95</v>
      </c>
      <c r="CF28">
        <v>0</v>
      </c>
      <c r="CG28">
        <v>0</v>
      </c>
      <c r="CM28">
        <v>0</v>
      </c>
      <c r="CO28">
        <v>0</v>
      </c>
      <c r="CP28">
        <f aca="true" t="shared" si="15" ref="CP28:CP34">(P28+Q28+S28)</f>
        <v>14485.57</v>
      </c>
      <c r="CQ28">
        <f aca="true" t="shared" si="16" ref="CQ28:CQ34">(AC28)*BC28</f>
        <v>0</v>
      </c>
      <c r="CR28">
        <f aca="true" t="shared" si="17" ref="CR28:CR34">(AD28)*BB28</f>
        <v>0</v>
      </c>
      <c r="CS28">
        <f aca="true" t="shared" si="18" ref="CS28:CS34">(AE28)*BS28</f>
        <v>0</v>
      </c>
      <c r="CT28">
        <f aca="true" t="shared" si="19" ref="CT28:CT34">(AF28)*BA28</f>
        <v>10973.9192</v>
      </c>
      <c r="CU28">
        <f aca="true" t="shared" si="20" ref="CU28:CX34">(AG28)*BT28</f>
        <v>0</v>
      </c>
      <c r="CV28">
        <f t="shared" si="20"/>
        <v>76.7</v>
      </c>
      <c r="CW28">
        <f t="shared" si="20"/>
        <v>0</v>
      </c>
      <c r="CX28">
        <f t="shared" si="20"/>
        <v>0</v>
      </c>
      <c r="CY28">
        <f aca="true" t="shared" si="21" ref="CY28:CY34">((S28+R28)*(ROUND((FX28*IF(1,(IF(0,0.94,0.85)*IF(0,0.85,1)),1)),IF(1,0,2))/100))</f>
        <v>17527.539699999998</v>
      </c>
      <c r="CZ28">
        <f aca="true" t="shared" si="22" ref="CZ28:CZ34">((S28+R28)*(ROUND((FY28*IF(1,0.8,1)),IF(1,0,2))/100))</f>
        <v>9415.6205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20</v>
      </c>
      <c r="DW28" t="s">
        <v>20</v>
      </c>
      <c r="DX28">
        <v>100</v>
      </c>
      <c r="EE28">
        <v>26532675</v>
      </c>
      <c r="EF28">
        <v>2</v>
      </c>
      <c r="EG28" t="s">
        <v>22</v>
      </c>
      <c r="EH28">
        <v>0</v>
      </c>
      <c r="EJ28">
        <v>1</v>
      </c>
      <c r="EK28">
        <v>27001</v>
      </c>
      <c r="EL28" t="s">
        <v>23</v>
      </c>
      <c r="EM28" t="s">
        <v>24</v>
      </c>
      <c r="EQ28">
        <v>0</v>
      </c>
      <c r="ER28">
        <v>615.13</v>
      </c>
      <c r="ES28">
        <v>0</v>
      </c>
      <c r="ET28">
        <v>0</v>
      </c>
      <c r="EU28">
        <v>0</v>
      </c>
      <c r="EV28">
        <v>615.13</v>
      </c>
      <c r="EW28">
        <v>76.7</v>
      </c>
      <c r="EX28">
        <v>0</v>
      </c>
      <c r="EY28">
        <v>0</v>
      </c>
      <c r="EZ28">
        <v>0</v>
      </c>
      <c r="FQ28">
        <v>0</v>
      </c>
      <c r="FR28">
        <f aca="true" t="shared" si="23" ref="FR28:FR34">ROUND(IF(AND(AA28=0,BI28=3),P28,0),2)</f>
        <v>0</v>
      </c>
      <c r="FS28">
        <v>0</v>
      </c>
      <c r="FU28" t="s">
        <v>25</v>
      </c>
      <c r="FV28" t="s">
        <v>26</v>
      </c>
      <c r="FW28" t="s">
        <v>27</v>
      </c>
      <c r="FX28">
        <v>142</v>
      </c>
      <c r="FY28">
        <v>80.75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ht="12.75">
      <c r="A29">
        <v>17</v>
      </c>
      <c r="B29">
        <v>1</v>
      </c>
      <c r="C29">
        <f>ROW(SmtRes!A12)</f>
        <v>12</v>
      </c>
      <c r="D29">
        <f>ROW(EtalonRes!A11)</f>
        <v>11</v>
      </c>
      <c r="E29" t="s">
        <v>28</v>
      </c>
      <c r="F29" t="s">
        <v>29</v>
      </c>
      <c r="G29" t="s">
        <v>30</v>
      </c>
      <c r="H29" t="s">
        <v>20</v>
      </c>
      <c r="I29">
        <v>0.78</v>
      </c>
      <c r="J29">
        <v>0</v>
      </c>
      <c r="O29">
        <f t="shared" si="3"/>
        <v>25862.31</v>
      </c>
      <c r="P29">
        <f t="shared" si="4"/>
        <v>16460.48</v>
      </c>
      <c r="Q29">
        <f t="shared" si="5"/>
        <v>445.45</v>
      </c>
      <c r="R29">
        <f t="shared" si="6"/>
        <v>127.74</v>
      </c>
      <c r="S29">
        <f t="shared" si="7"/>
        <v>8956.38</v>
      </c>
      <c r="T29">
        <f t="shared" si="8"/>
        <v>0</v>
      </c>
      <c r="U29">
        <f t="shared" si="9"/>
        <v>59.3424</v>
      </c>
      <c r="V29">
        <f t="shared" si="10"/>
        <v>0.5304000000000001</v>
      </c>
      <c r="W29">
        <f t="shared" si="11"/>
        <v>0</v>
      </c>
      <c r="X29">
        <f t="shared" si="12"/>
        <v>10991.79</v>
      </c>
      <c r="Y29">
        <f t="shared" si="12"/>
        <v>5904.68</v>
      </c>
      <c r="AA29">
        <v>0</v>
      </c>
      <c r="AB29">
        <f t="shared" si="13"/>
        <v>4682.610000000001</v>
      </c>
      <c r="AC29">
        <f t="shared" si="14"/>
        <v>3959.32</v>
      </c>
      <c r="AD29">
        <f t="shared" si="14"/>
        <v>79.65</v>
      </c>
      <c r="AE29">
        <f t="shared" si="14"/>
        <v>9.18</v>
      </c>
      <c r="AF29">
        <f t="shared" si="14"/>
        <v>643.64</v>
      </c>
      <c r="AG29">
        <f>(AP29)</f>
        <v>0</v>
      </c>
      <c r="AH29">
        <f>(EW29)</f>
        <v>76.08</v>
      </c>
      <c r="AI29">
        <f>(EX29)</f>
        <v>0.68</v>
      </c>
      <c r="AJ29">
        <f>(AS29)</f>
        <v>0</v>
      </c>
      <c r="AK29">
        <v>4682.610000000001</v>
      </c>
      <c r="AL29">
        <v>3959.32</v>
      </c>
      <c r="AM29">
        <v>79.65</v>
      </c>
      <c r="AN29">
        <v>9.18</v>
      </c>
      <c r="AO29">
        <v>643.64</v>
      </c>
      <c r="AP29">
        <v>0</v>
      </c>
      <c r="AQ29">
        <v>76.08</v>
      </c>
      <c r="AR29">
        <v>0.68</v>
      </c>
      <c r="AS29">
        <v>0</v>
      </c>
      <c r="AT29">
        <v>121</v>
      </c>
      <c r="AU29">
        <v>65</v>
      </c>
      <c r="AV29">
        <v>1</v>
      </c>
      <c r="AW29">
        <v>1</v>
      </c>
      <c r="AX29">
        <v>1</v>
      </c>
      <c r="AY29">
        <v>1</v>
      </c>
      <c r="AZ29">
        <v>9</v>
      </c>
      <c r="BA29">
        <v>17.84</v>
      </c>
      <c r="BB29">
        <v>7.17</v>
      </c>
      <c r="BC29">
        <v>5.33</v>
      </c>
      <c r="BH29">
        <v>0</v>
      </c>
      <c r="BI29">
        <v>1</v>
      </c>
      <c r="BJ29" t="s">
        <v>31</v>
      </c>
      <c r="BM29">
        <v>27001</v>
      </c>
      <c r="BN29">
        <v>0</v>
      </c>
      <c r="BO29" t="s">
        <v>29</v>
      </c>
      <c r="BP29">
        <v>1</v>
      </c>
      <c r="BQ29">
        <v>2</v>
      </c>
      <c r="BR29">
        <v>0</v>
      </c>
      <c r="BS29">
        <v>17.84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142</v>
      </c>
      <c r="CA29">
        <v>95</v>
      </c>
      <c r="CF29">
        <v>0</v>
      </c>
      <c r="CG29">
        <v>0</v>
      </c>
      <c r="CM29">
        <v>0</v>
      </c>
      <c r="CO29">
        <v>0</v>
      </c>
      <c r="CP29">
        <f t="shared" si="15"/>
        <v>25862.309999999998</v>
      </c>
      <c r="CQ29">
        <f t="shared" si="16"/>
        <v>21103.175600000002</v>
      </c>
      <c r="CR29">
        <f t="shared" si="17"/>
        <v>571.0905</v>
      </c>
      <c r="CS29">
        <f t="shared" si="18"/>
        <v>163.7712</v>
      </c>
      <c r="CT29">
        <f t="shared" si="19"/>
        <v>11482.5376</v>
      </c>
      <c r="CU29">
        <f t="shared" si="20"/>
        <v>0</v>
      </c>
      <c r="CV29">
        <f t="shared" si="20"/>
        <v>76.08</v>
      </c>
      <c r="CW29">
        <f t="shared" si="20"/>
        <v>0.68</v>
      </c>
      <c r="CX29">
        <f t="shared" si="20"/>
        <v>0</v>
      </c>
      <c r="CY29">
        <f t="shared" si="21"/>
        <v>10991.785199999998</v>
      </c>
      <c r="CZ29">
        <f t="shared" si="22"/>
        <v>5904.678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20</v>
      </c>
      <c r="DW29" t="s">
        <v>32</v>
      </c>
      <c r="DX29">
        <v>100</v>
      </c>
      <c r="EE29">
        <v>26532675</v>
      </c>
      <c r="EF29">
        <v>2</v>
      </c>
      <c r="EG29" t="s">
        <v>22</v>
      </c>
      <c r="EH29">
        <v>0</v>
      </c>
      <c r="EJ29">
        <v>1</v>
      </c>
      <c r="EK29">
        <v>27001</v>
      </c>
      <c r="EL29" t="s">
        <v>23</v>
      </c>
      <c r="EM29" t="s">
        <v>24</v>
      </c>
      <c r="EQ29">
        <v>0</v>
      </c>
      <c r="ER29">
        <v>4682.61</v>
      </c>
      <c r="ES29">
        <v>3959.32</v>
      </c>
      <c r="ET29">
        <v>79.65</v>
      </c>
      <c r="EU29">
        <v>9.18</v>
      </c>
      <c r="EV29">
        <v>643.64</v>
      </c>
      <c r="EW29">
        <v>76.08</v>
      </c>
      <c r="EX29">
        <v>0.68</v>
      </c>
      <c r="EY29">
        <v>0</v>
      </c>
      <c r="EZ29">
        <v>0</v>
      </c>
      <c r="FQ29">
        <v>0</v>
      </c>
      <c r="FR29">
        <f t="shared" si="23"/>
        <v>0</v>
      </c>
      <c r="FS29">
        <v>0</v>
      </c>
      <c r="FU29" t="s">
        <v>25</v>
      </c>
      <c r="FV29" t="s">
        <v>26</v>
      </c>
      <c r="FW29" t="s">
        <v>27</v>
      </c>
      <c r="FX29">
        <v>142</v>
      </c>
      <c r="FY29">
        <v>80.75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</row>
    <row r="30" spans="1:193" ht="12.75">
      <c r="A30">
        <v>18</v>
      </c>
      <c r="B30">
        <v>1</v>
      </c>
      <c r="C30">
        <v>11</v>
      </c>
      <c r="E30" t="s">
        <v>33</v>
      </c>
      <c r="F30" t="s">
        <v>34</v>
      </c>
      <c r="G30" t="s">
        <v>35</v>
      </c>
      <c r="H30" t="s">
        <v>36</v>
      </c>
      <c r="I30">
        <f>I29*J30</f>
        <v>78</v>
      </c>
      <c r="J30">
        <v>100</v>
      </c>
      <c r="O30">
        <f t="shared" si="3"/>
        <v>18468.79</v>
      </c>
      <c r="P30">
        <f t="shared" si="4"/>
        <v>18468.79</v>
      </c>
      <c r="Q30">
        <f t="shared" si="5"/>
        <v>0</v>
      </c>
      <c r="R30">
        <f t="shared" si="6"/>
        <v>0</v>
      </c>
      <c r="S30">
        <f t="shared" si="7"/>
        <v>0</v>
      </c>
      <c r="T30">
        <f t="shared" si="8"/>
        <v>0</v>
      </c>
      <c r="U30">
        <f t="shared" si="9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2"/>
        <v>0</v>
      </c>
      <c r="AA30">
        <v>0</v>
      </c>
      <c r="AB30">
        <f t="shared" si="13"/>
        <v>63.31</v>
      </c>
      <c r="AC30">
        <f aca="true" t="shared" si="24" ref="AC30:AJ31">AL30</f>
        <v>63.31</v>
      </c>
      <c r="AD30">
        <f t="shared" si="24"/>
        <v>0</v>
      </c>
      <c r="AE30">
        <f t="shared" si="24"/>
        <v>0</v>
      </c>
      <c r="AF30">
        <f t="shared" si="24"/>
        <v>0</v>
      </c>
      <c r="AG30">
        <f t="shared" si="24"/>
        <v>0</v>
      </c>
      <c r="AH30">
        <f t="shared" si="24"/>
        <v>0</v>
      </c>
      <c r="AI30">
        <f t="shared" si="24"/>
        <v>0</v>
      </c>
      <c r="AJ30">
        <f t="shared" si="24"/>
        <v>0</v>
      </c>
      <c r="AK30">
        <v>63.31</v>
      </c>
      <c r="AL30">
        <v>63.31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121</v>
      </c>
      <c r="AU30"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3.74</v>
      </c>
      <c r="BH30">
        <v>3</v>
      </c>
      <c r="BI30">
        <v>1</v>
      </c>
      <c r="BJ30" t="s">
        <v>37</v>
      </c>
      <c r="BM30">
        <v>27001</v>
      </c>
      <c r="BN30">
        <v>0</v>
      </c>
      <c r="BO30" t="s">
        <v>34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142</v>
      </c>
      <c r="CA30">
        <v>95</v>
      </c>
      <c r="CF30">
        <v>0</v>
      </c>
      <c r="CG30">
        <v>0</v>
      </c>
      <c r="CM30">
        <v>0</v>
      </c>
      <c r="CO30">
        <v>0</v>
      </c>
      <c r="CP30">
        <f t="shared" si="15"/>
        <v>18468.79</v>
      </c>
      <c r="CQ30">
        <f t="shared" si="16"/>
        <v>236.7794</v>
      </c>
      <c r="CR30">
        <f t="shared" si="17"/>
        <v>0</v>
      </c>
      <c r="CS30">
        <f t="shared" si="18"/>
        <v>0</v>
      </c>
      <c r="CT30">
        <f t="shared" si="19"/>
        <v>0</v>
      </c>
      <c r="CU30">
        <f t="shared" si="20"/>
        <v>0</v>
      </c>
      <c r="CV30">
        <f t="shared" si="20"/>
        <v>0</v>
      </c>
      <c r="CW30">
        <f t="shared" si="20"/>
        <v>0</v>
      </c>
      <c r="CX30">
        <f t="shared" si="20"/>
        <v>0</v>
      </c>
      <c r="CY30">
        <f t="shared" si="21"/>
        <v>0</v>
      </c>
      <c r="CZ30">
        <f t="shared" si="22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36</v>
      </c>
      <c r="DW30" t="s">
        <v>36</v>
      </c>
      <c r="DX30">
        <v>1</v>
      </c>
      <c r="EE30">
        <v>26532675</v>
      </c>
      <c r="EF30">
        <v>2</v>
      </c>
      <c r="EG30" t="s">
        <v>22</v>
      </c>
      <c r="EH30">
        <v>0</v>
      </c>
      <c r="EJ30">
        <v>1</v>
      </c>
      <c r="EK30">
        <v>27001</v>
      </c>
      <c r="EL30" t="s">
        <v>23</v>
      </c>
      <c r="EM30" t="s">
        <v>24</v>
      </c>
      <c r="EQ30">
        <v>0</v>
      </c>
      <c r="ER30">
        <v>0</v>
      </c>
      <c r="ES30">
        <v>63.31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23"/>
        <v>0</v>
      </c>
      <c r="FS30">
        <v>0</v>
      </c>
      <c r="FU30" t="s">
        <v>25</v>
      </c>
      <c r="FV30" t="s">
        <v>26</v>
      </c>
      <c r="FW30" t="s">
        <v>27</v>
      </c>
      <c r="FX30">
        <v>142</v>
      </c>
      <c r="FY30">
        <v>80.75</v>
      </c>
      <c r="GA30">
        <v>63.31</v>
      </c>
      <c r="GB30">
        <v>63.31</v>
      </c>
      <c r="GC30">
        <v>0</v>
      </c>
      <c r="GD30">
        <v>0</v>
      </c>
      <c r="GE30">
        <v>0</v>
      </c>
      <c r="GF30">
        <v>63.31</v>
      </c>
      <c r="GG30">
        <v>63.31</v>
      </c>
      <c r="GH30">
        <v>0</v>
      </c>
      <c r="GI30">
        <v>0</v>
      </c>
      <c r="GJ30">
        <v>0</v>
      </c>
      <c r="GK30">
        <v>0</v>
      </c>
    </row>
    <row r="31" spans="1:193" ht="12.75">
      <c r="A31">
        <v>18</v>
      </c>
      <c r="B31">
        <v>1</v>
      </c>
      <c r="C31">
        <v>12</v>
      </c>
      <c r="E31" t="s">
        <v>38</v>
      </c>
      <c r="F31" t="s">
        <v>39</v>
      </c>
      <c r="G31" t="s">
        <v>40</v>
      </c>
      <c r="H31" t="s">
        <v>41</v>
      </c>
      <c r="I31">
        <f>I29*J31</f>
        <v>78</v>
      </c>
      <c r="J31">
        <v>100</v>
      </c>
      <c r="O31">
        <f t="shared" si="3"/>
        <v>0</v>
      </c>
      <c r="P31">
        <f t="shared" si="4"/>
        <v>0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2"/>
        <v>0</v>
      </c>
      <c r="AA31">
        <v>0</v>
      </c>
      <c r="AB31">
        <f t="shared" si="13"/>
        <v>0</v>
      </c>
      <c r="AC31">
        <f t="shared" si="24"/>
        <v>0</v>
      </c>
      <c r="AD31">
        <f t="shared" si="24"/>
        <v>0</v>
      </c>
      <c r="AE31">
        <f t="shared" si="24"/>
        <v>0</v>
      </c>
      <c r="AF31">
        <f t="shared" si="24"/>
        <v>0</v>
      </c>
      <c r="AG31">
        <f t="shared" si="24"/>
        <v>0</v>
      </c>
      <c r="AH31">
        <f t="shared" si="24"/>
        <v>0</v>
      </c>
      <c r="AI31">
        <f t="shared" si="24"/>
        <v>0</v>
      </c>
      <c r="AJ31">
        <f t="shared" si="24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121</v>
      </c>
      <c r="AU31"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J31" t="s">
        <v>42</v>
      </c>
      <c r="BM31">
        <v>27001</v>
      </c>
      <c r="BN31">
        <v>0</v>
      </c>
      <c r="BO31" t="s">
        <v>39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142</v>
      </c>
      <c r="CA31">
        <v>95</v>
      </c>
      <c r="CF31">
        <v>0</v>
      </c>
      <c r="CG31">
        <v>0</v>
      </c>
      <c r="CM31">
        <v>0</v>
      </c>
      <c r="CO31">
        <v>0</v>
      </c>
      <c r="CP31">
        <f t="shared" si="15"/>
        <v>0</v>
      </c>
      <c r="CQ31">
        <f t="shared" si="16"/>
        <v>0</v>
      </c>
      <c r="CR31">
        <f t="shared" si="17"/>
        <v>0</v>
      </c>
      <c r="CS31">
        <f t="shared" si="18"/>
        <v>0</v>
      </c>
      <c r="CT31">
        <f t="shared" si="19"/>
        <v>0</v>
      </c>
      <c r="CU31">
        <f t="shared" si="20"/>
        <v>0</v>
      </c>
      <c r="CV31">
        <f t="shared" si="20"/>
        <v>0</v>
      </c>
      <c r="CW31">
        <f t="shared" si="20"/>
        <v>0</v>
      </c>
      <c r="CX31">
        <f t="shared" si="20"/>
        <v>0</v>
      </c>
      <c r="CY31">
        <f t="shared" si="21"/>
        <v>0</v>
      </c>
      <c r="CZ31">
        <f t="shared" si="22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1003</v>
      </c>
      <c r="DV31" t="s">
        <v>41</v>
      </c>
      <c r="DW31" t="s">
        <v>41</v>
      </c>
      <c r="DX31">
        <v>1</v>
      </c>
      <c r="EE31">
        <v>26532675</v>
      </c>
      <c r="EF31">
        <v>2</v>
      </c>
      <c r="EG31" t="s">
        <v>22</v>
      </c>
      <c r="EH31">
        <v>0</v>
      </c>
      <c r="EJ31">
        <v>1</v>
      </c>
      <c r="EK31">
        <v>27001</v>
      </c>
      <c r="EL31" t="s">
        <v>23</v>
      </c>
      <c r="EM31" t="s">
        <v>24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3"/>
        <v>0</v>
      </c>
      <c r="FS31">
        <v>0</v>
      </c>
      <c r="FU31" t="s">
        <v>25</v>
      </c>
      <c r="FV31" t="s">
        <v>26</v>
      </c>
      <c r="FW31" t="s">
        <v>27</v>
      </c>
      <c r="FX31">
        <v>142</v>
      </c>
      <c r="FY31">
        <v>80.75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</row>
    <row r="32" spans="1:193" ht="12.75">
      <c r="A32">
        <v>17</v>
      </c>
      <c r="B32">
        <v>1</v>
      </c>
      <c r="C32">
        <f>ROW(SmtRes!A22)</f>
        <v>22</v>
      </c>
      <c r="D32">
        <f>ROW(EtalonRes!A20)</f>
        <v>20</v>
      </c>
      <c r="E32" t="s">
        <v>43</v>
      </c>
      <c r="F32" t="s">
        <v>29</v>
      </c>
      <c r="G32" t="s">
        <v>30</v>
      </c>
      <c r="H32" t="s">
        <v>20</v>
      </c>
      <c r="I32">
        <v>0.6</v>
      </c>
      <c r="J32">
        <v>0</v>
      </c>
      <c r="O32">
        <f t="shared" si="3"/>
        <v>19894.08</v>
      </c>
      <c r="P32">
        <f t="shared" si="4"/>
        <v>12661.91</v>
      </c>
      <c r="Q32">
        <f t="shared" si="5"/>
        <v>342.65</v>
      </c>
      <c r="R32">
        <f t="shared" si="6"/>
        <v>98.26</v>
      </c>
      <c r="S32">
        <f t="shared" si="7"/>
        <v>6889.52</v>
      </c>
      <c r="T32">
        <f t="shared" si="8"/>
        <v>0</v>
      </c>
      <c r="U32">
        <f t="shared" si="9"/>
        <v>45.647999999999996</v>
      </c>
      <c r="V32">
        <f t="shared" si="10"/>
        <v>0.40800000000000003</v>
      </c>
      <c r="W32">
        <f t="shared" si="11"/>
        <v>0</v>
      </c>
      <c r="X32">
        <f t="shared" si="12"/>
        <v>8455.21</v>
      </c>
      <c r="Y32">
        <f t="shared" si="12"/>
        <v>4542.06</v>
      </c>
      <c r="AA32">
        <v>0</v>
      </c>
      <c r="AB32">
        <f t="shared" si="13"/>
        <v>4682.610000000001</v>
      </c>
      <c r="AC32">
        <f>(ES32)</f>
        <v>3959.32</v>
      </c>
      <c r="AD32">
        <f>(ET32)</f>
        <v>79.65</v>
      </c>
      <c r="AE32">
        <f>(EU32)</f>
        <v>9.18</v>
      </c>
      <c r="AF32">
        <f>(EV32)</f>
        <v>643.64</v>
      </c>
      <c r="AG32">
        <f>(AP32)</f>
        <v>0</v>
      </c>
      <c r="AH32">
        <f>(EW32)</f>
        <v>76.08</v>
      </c>
      <c r="AI32">
        <f>(EX32)</f>
        <v>0.68</v>
      </c>
      <c r="AJ32">
        <f>(AS32)</f>
        <v>0</v>
      </c>
      <c r="AK32">
        <v>4682.610000000001</v>
      </c>
      <c r="AL32">
        <v>3959.32</v>
      </c>
      <c r="AM32">
        <v>79.65</v>
      </c>
      <c r="AN32">
        <v>9.18</v>
      </c>
      <c r="AO32">
        <v>643.64</v>
      </c>
      <c r="AP32">
        <v>0</v>
      </c>
      <c r="AQ32">
        <v>76.08</v>
      </c>
      <c r="AR32">
        <v>0.68</v>
      </c>
      <c r="AS32">
        <v>0</v>
      </c>
      <c r="AT32">
        <v>121</v>
      </c>
      <c r="AU32">
        <v>65</v>
      </c>
      <c r="AV32">
        <v>1</v>
      </c>
      <c r="AW32">
        <v>1</v>
      </c>
      <c r="AX32">
        <v>1</v>
      </c>
      <c r="AY32">
        <v>1</v>
      </c>
      <c r="AZ32">
        <v>9</v>
      </c>
      <c r="BA32">
        <v>17.84</v>
      </c>
      <c r="BB32">
        <v>7.17</v>
      </c>
      <c r="BC32">
        <v>5.33</v>
      </c>
      <c r="BH32">
        <v>0</v>
      </c>
      <c r="BI32">
        <v>1</v>
      </c>
      <c r="BJ32" t="s">
        <v>31</v>
      </c>
      <c r="BM32">
        <v>27001</v>
      </c>
      <c r="BN32">
        <v>0</v>
      </c>
      <c r="BO32" t="s">
        <v>29</v>
      </c>
      <c r="BP32">
        <v>1</v>
      </c>
      <c r="BQ32">
        <v>2</v>
      </c>
      <c r="BR32">
        <v>0</v>
      </c>
      <c r="BS32">
        <v>17.84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142</v>
      </c>
      <c r="CA32">
        <v>95</v>
      </c>
      <c r="CF32">
        <v>0</v>
      </c>
      <c r="CG32">
        <v>0</v>
      </c>
      <c r="CM32">
        <v>0</v>
      </c>
      <c r="CO32">
        <v>0</v>
      </c>
      <c r="CP32">
        <f t="shared" si="15"/>
        <v>19894.08</v>
      </c>
      <c r="CQ32">
        <f t="shared" si="16"/>
        <v>21103.175600000002</v>
      </c>
      <c r="CR32">
        <f t="shared" si="17"/>
        <v>571.0905</v>
      </c>
      <c r="CS32">
        <f t="shared" si="18"/>
        <v>163.7712</v>
      </c>
      <c r="CT32">
        <f t="shared" si="19"/>
        <v>11482.5376</v>
      </c>
      <c r="CU32">
        <f t="shared" si="20"/>
        <v>0</v>
      </c>
      <c r="CV32">
        <f t="shared" si="20"/>
        <v>76.08</v>
      </c>
      <c r="CW32">
        <f t="shared" si="20"/>
        <v>0.68</v>
      </c>
      <c r="CX32">
        <f t="shared" si="20"/>
        <v>0</v>
      </c>
      <c r="CY32">
        <f t="shared" si="21"/>
        <v>8455.213800000001</v>
      </c>
      <c r="CZ32">
        <f t="shared" si="22"/>
        <v>4542.057000000001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1003</v>
      </c>
      <c r="DV32" t="s">
        <v>20</v>
      </c>
      <c r="DW32" t="s">
        <v>32</v>
      </c>
      <c r="DX32">
        <v>100</v>
      </c>
      <c r="EE32">
        <v>26532675</v>
      </c>
      <c r="EF32">
        <v>2</v>
      </c>
      <c r="EG32" t="s">
        <v>22</v>
      </c>
      <c r="EH32">
        <v>0</v>
      </c>
      <c r="EJ32">
        <v>1</v>
      </c>
      <c r="EK32">
        <v>27001</v>
      </c>
      <c r="EL32" t="s">
        <v>23</v>
      </c>
      <c r="EM32" t="s">
        <v>24</v>
      </c>
      <c r="EQ32">
        <v>0</v>
      </c>
      <c r="ER32">
        <v>4682.61</v>
      </c>
      <c r="ES32">
        <v>3959.32</v>
      </c>
      <c r="ET32">
        <v>79.65</v>
      </c>
      <c r="EU32">
        <v>9.18</v>
      </c>
      <c r="EV32">
        <v>643.64</v>
      </c>
      <c r="EW32">
        <v>76.08</v>
      </c>
      <c r="EX32">
        <v>0.68</v>
      </c>
      <c r="EY32">
        <v>0</v>
      </c>
      <c r="EZ32">
        <v>0</v>
      </c>
      <c r="FQ32">
        <v>0</v>
      </c>
      <c r="FR32">
        <f t="shared" si="23"/>
        <v>0</v>
      </c>
      <c r="FS32">
        <v>0</v>
      </c>
      <c r="FU32" t="s">
        <v>25</v>
      </c>
      <c r="FV32" t="s">
        <v>26</v>
      </c>
      <c r="FW32" t="s">
        <v>27</v>
      </c>
      <c r="FX32">
        <v>142</v>
      </c>
      <c r="FY32">
        <v>80.75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</row>
    <row r="33" spans="1:193" ht="12.75">
      <c r="A33">
        <v>18</v>
      </c>
      <c r="B33">
        <v>1</v>
      </c>
      <c r="C33">
        <v>21</v>
      </c>
      <c r="E33" t="s">
        <v>44</v>
      </c>
      <c r="F33" t="s">
        <v>45</v>
      </c>
      <c r="G33" t="s">
        <v>46</v>
      </c>
      <c r="H33" t="s">
        <v>36</v>
      </c>
      <c r="I33">
        <v>120</v>
      </c>
      <c r="J33">
        <v>100</v>
      </c>
      <c r="O33">
        <f t="shared" si="3"/>
        <v>15442.9</v>
      </c>
      <c r="P33">
        <f t="shared" si="4"/>
        <v>15442.9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2"/>
        <v>0</v>
      </c>
      <c r="AA33">
        <v>0</v>
      </c>
      <c r="AB33">
        <f t="shared" si="13"/>
        <v>22.42</v>
      </c>
      <c r="AC33">
        <f aca="true" t="shared" si="25" ref="AC33:AJ34">AL33</f>
        <v>22.42</v>
      </c>
      <c r="AD33">
        <f t="shared" si="25"/>
        <v>0</v>
      </c>
      <c r="AE33">
        <f t="shared" si="25"/>
        <v>0</v>
      </c>
      <c r="AF33">
        <f t="shared" si="25"/>
        <v>0</v>
      </c>
      <c r="AG33">
        <f t="shared" si="25"/>
        <v>0</v>
      </c>
      <c r="AH33">
        <f t="shared" si="25"/>
        <v>0</v>
      </c>
      <c r="AI33">
        <f t="shared" si="25"/>
        <v>0</v>
      </c>
      <c r="AJ33">
        <f t="shared" si="25"/>
        <v>0</v>
      </c>
      <c r="AK33">
        <v>22.42</v>
      </c>
      <c r="AL33">
        <v>22.42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121</v>
      </c>
      <c r="AU33"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5.74</v>
      </c>
      <c r="BH33">
        <v>3</v>
      </c>
      <c r="BI33">
        <v>1</v>
      </c>
      <c r="BJ33" t="s">
        <v>47</v>
      </c>
      <c r="BM33">
        <v>27001</v>
      </c>
      <c r="BN33">
        <v>0</v>
      </c>
      <c r="BO33" t="s">
        <v>45</v>
      </c>
      <c r="BP33">
        <v>1</v>
      </c>
      <c r="BQ33">
        <v>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142</v>
      </c>
      <c r="CA33">
        <v>95</v>
      </c>
      <c r="CF33">
        <v>0</v>
      </c>
      <c r="CG33">
        <v>0</v>
      </c>
      <c r="CM33">
        <v>0</v>
      </c>
      <c r="CO33">
        <v>0</v>
      </c>
      <c r="CP33">
        <f t="shared" si="15"/>
        <v>15442.9</v>
      </c>
      <c r="CQ33">
        <f t="shared" si="16"/>
        <v>128.69080000000002</v>
      </c>
      <c r="CR33">
        <f t="shared" si="17"/>
        <v>0</v>
      </c>
      <c r="CS33">
        <f t="shared" si="18"/>
        <v>0</v>
      </c>
      <c r="CT33">
        <f t="shared" si="19"/>
        <v>0</v>
      </c>
      <c r="CU33">
        <f t="shared" si="20"/>
        <v>0</v>
      </c>
      <c r="CV33">
        <f t="shared" si="20"/>
        <v>0</v>
      </c>
      <c r="CW33">
        <f t="shared" si="20"/>
        <v>0</v>
      </c>
      <c r="CX33">
        <f t="shared" si="20"/>
        <v>0</v>
      </c>
      <c r="CY33">
        <f t="shared" si="21"/>
        <v>0</v>
      </c>
      <c r="CZ33">
        <f t="shared" si="22"/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36</v>
      </c>
      <c r="DW33" t="s">
        <v>36</v>
      </c>
      <c r="DX33">
        <v>1</v>
      </c>
      <c r="EE33">
        <v>26532675</v>
      </c>
      <c r="EF33">
        <v>2</v>
      </c>
      <c r="EG33" t="s">
        <v>22</v>
      </c>
      <c r="EH33">
        <v>0</v>
      </c>
      <c r="EJ33">
        <v>1</v>
      </c>
      <c r="EK33">
        <v>27001</v>
      </c>
      <c r="EL33" t="s">
        <v>23</v>
      </c>
      <c r="EM33" t="s">
        <v>24</v>
      </c>
      <c r="EQ33">
        <v>0</v>
      </c>
      <c r="ER33">
        <v>0</v>
      </c>
      <c r="ES33">
        <v>22.42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0</v>
      </c>
      <c r="FQ33">
        <v>0</v>
      </c>
      <c r="FR33">
        <f t="shared" si="23"/>
        <v>0</v>
      </c>
      <c r="FS33">
        <v>0</v>
      </c>
      <c r="FU33" t="s">
        <v>25</v>
      </c>
      <c r="FV33" t="s">
        <v>26</v>
      </c>
      <c r="FW33" t="s">
        <v>27</v>
      </c>
      <c r="FX33">
        <v>142</v>
      </c>
      <c r="FY33">
        <v>80.75</v>
      </c>
      <c r="GA33">
        <v>22.42</v>
      </c>
      <c r="GB33">
        <v>22.42</v>
      </c>
      <c r="GC33">
        <v>0</v>
      </c>
      <c r="GD33">
        <v>0</v>
      </c>
      <c r="GE33">
        <v>0</v>
      </c>
      <c r="GF33">
        <v>22.42</v>
      </c>
      <c r="GG33">
        <v>22.42</v>
      </c>
      <c r="GH33">
        <v>0</v>
      </c>
      <c r="GI33">
        <v>0</v>
      </c>
      <c r="GJ33">
        <v>0</v>
      </c>
      <c r="GK33">
        <v>0</v>
      </c>
    </row>
    <row r="34" spans="1:193" ht="12.75">
      <c r="A34">
        <v>18</v>
      </c>
      <c r="B34">
        <v>1</v>
      </c>
      <c r="C34">
        <v>22</v>
      </c>
      <c r="E34" t="s">
        <v>48</v>
      </c>
      <c r="F34" t="s">
        <v>39</v>
      </c>
      <c r="G34" t="s">
        <v>40</v>
      </c>
      <c r="H34" t="s">
        <v>41</v>
      </c>
      <c r="I34">
        <f>I32*J34</f>
        <v>60</v>
      </c>
      <c r="J34">
        <v>100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2"/>
        <v>0</v>
      </c>
      <c r="AA34">
        <v>0</v>
      </c>
      <c r="AB34">
        <f t="shared" si="13"/>
        <v>0</v>
      </c>
      <c r="AC34">
        <f t="shared" si="25"/>
        <v>0</v>
      </c>
      <c r="AD34">
        <f t="shared" si="25"/>
        <v>0</v>
      </c>
      <c r="AE34">
        <f t="shared" si="25"/>
        <v>0</v>
      </c>
      <c r="AF34">
        <f t="shared" si="25"/>
        <v>0</v>
      </c>
      <c r="AG34">
        <f t="shared" si="25"/>
        <v>0</v>
      </c>
      <c r="AH34">
        <f t="shared" si="25"/>
        <v>0</v>
      </c>
      <c r="AI34">
        <f t="shared" si="25"/>
        <v>0</v>
      </c>
      <c r="AJ34">
        <f t="shared" si="25"/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121</v>
      </c>
      <c r="AU34"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1</v>
      </c>
      <c r="BJ34" t="s">
        <v>42</v>
      </c>
      <c r="BM34">
        <v>27001</v>
      </c>
      <c r="BN34">
        <v>0</v>
      </c>
      <c r="BO34" t="s">
        <v>39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142</v>
      </c>
      <c r="CA34">
        <v>95</v>
      </c>
      <c r="CF34">
        <v>0</v>
      </c>
      <c r="CG34">
        <v>0</v>
      </c>
      <c r="CM34">
        <v>0</v>
      </c>
      <c r="CO34">
        <v>0</v>
      </c>
      <c r="CP34">
        <f t="shared" si="15"/>
        <v>0</v>
      </c>
      <c r="CQ34">
        <f t="shared" si="16"/>
        <v>0</v>
      </c>
      <c r="CR34">
        <f t="shared" si="17"/>
        <v>0</v>
      </c>
      <c r="CS34">
        <f t="shared" si="18"/>
        <v>0</v>
      </c>
      <c r="CT34">
        <f t="shared" si="19"/>
        <v>0</v>
      </c>
      <c r="CU34">
        <f t="shared" si="20"/>
        <v>0</v>
      </c>
      <c r="CV34">
        <f t="shared" si="20"/>
        <v>0</v>
      </c>
      <c r="CW34">
        <f t="shared" si="20"/>
        <v>0</v>
      </c>
      <c r="CX34">
        <f t="shared" si="20"/>
        <v>0</v>
      </c>
      <c r="CY34">
        <f t="shared" si="21"/>
        <v>0</v>
      </c>
      <c r="CZ34">
        <f t="shared" si="22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1003</v>
      </c>
      <c r="DV34" t="s">
        <v>41</v>
      </c>
      <c r="DW34" t="s">
        <v>41</v>
      </c>
      <c r="DX34">
        <v>1</v>
      </c>
      <c r="EE34">
        <v>26532675</v>
      </c>
      <c r="EF34">
        <v>2</v>
      </c>
      <c r="EG34" t="s">
        <v>22</v>
      </c>
      <c r="EH34">
        <v>0</v>
      </c>
      <c r="EJ34">
        <v>1</v>
      </c>
      <c r="EK34">
        <v>27001</v>
      </c>
      <c r="EL34" t="s">
        <v>23</v>
      </c>
      <c r="EM34" t="s">
        <v>24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23"/>
        <v>0</v>
      </c>
      <c r="FS34">
        <v>0</v>
      </c>
      <c r="FU34" t="s">
        <v>25</v>
      </c>
      <c r="FV34" t="s">
        <v>26</v>
      </c>
      <c r="FW34" t="s">
        <v>27</v>
      </c>
      <c r="FX34">
        <v>142</v>
      </c>
      <c r="FY34">
        <v>80.75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</row>
    <row r="36" spans="1:43" ht="12.75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Новый раздел</v>
      </c>
      <c r="G36" s="2" t="str">
        <f>IF(G24&lt;&gt;"",G24,"")</f>
        <v>Замена бортового камня</v>
      </c>
      <c r="H36" s="2"/>
      <c r="I36" s="2"/>
      <c r="J36" s="2"/>
      <c r="K36" s="2"/>
      <c r="L36" s="2"/>
      <c r="M36" s="2"/>
      <c r="N36" s="2"/>
      <c r="O36" s="2">
        <f aca="true" t="shared" si="26" ref="O36:Y36">ROUND(AB36,2)</f>
        <v>94153.65</v>
      </c>
      <c r="P36" s="2">
        <f t="shared" si="26"/>
        <v>63034.08</v>
      </c>
      <c r="Q36" s="2">
        <f t="shared" si="26"/>
        <v>788.1</v>
      </c>
      <c r="R36" s="2">
        <f t="shared" si="26"/>
        <v>226</v>
      </c>
      <c r="S36" s="2">
        <f t="shared" si="26"/>
        <v>30331.47</v>
      </c>
      <c r="T36" s="2">
        <f t="shared" si="26"/>
        <v>0</v>
      </c>
      <c r="U36" s="2">
        <f t="shared" si="26"/>
        <v>206.23</v>
      </c>
      <c r="V36" s="2">
        <f t="shared" si="26"/>
        <v>0.94</v>
      </c>
      <c r="W36" s="2">
        <f t="shared" si="26"/>
        <v>0</v>
      </c>
      <c r="X36" s="2">
        <f t="shared" si="26"/>
        <v>36974.54</v>
      </c>
      <c r="Y36" s="2">
        <f t="shared" si="26"/>
        <v>19862.36</v>
      </c>
      <c r="Z36" s="2"/>
      <c r="AA36" s="2"/>
      <c r="AB36" s="2">
        <f>ROUND(SUMIF(AA28:AA34,"=0",O28:O34),2)</f>
        <v>94153.65</v>
      </c>
      <c r="AC36" s="2">
        <f>ROUND(SUMIF(AA28:AA34,"=0",P28:P34),2)</f>
        <v>63034.08</v>
      </c>
      <c r="AD36" s="2">
        <f>ROUND(SUMIF(AA28:AA34,"=0",Q28:Q34),2)</f>
        <v>788.1</v>
      </c>
      <c r="AE36" s="2">
        <f>ROUND(SUMIF(AA28:AA34,"=0",R28:R34),2)</f>
        <v>226</v>
      </c>
      <c r="AF36" s="2">
        <f>ROUND(SUMIF(AA28:AA34,"=0",S28:S34),2)</f>
        <v>30331.47</v>
      </c>
      <c r="AG36" s="2">
        <f>ROUND(SUMIF(AA28:AA34,"=0",T28:T34),2)</f>
        <v>0</v>
      </c>
      <c r="AH36" s="2">
        <f>ROUND(SUMIF(AA28:AA34,"=0",U28:U34),2)</f>
        <v>206.23</v>
      </c>
      <c r="AI36" s="2">
        <f>ROUND(SUMIF(AA28:AA34,"=0",V28:V34),2)</f>
        <v>0.94</v>
      </c>
      <c r="AJ36" s="2">
        <f>ROUND(SUMIF(AA28:AA34,"=0",W28:W34),2)</f>
        <v>0</v>
      </c>
      <c r="AK36" s="2">
        <f>ROUND(SUMIF(AA28:AA34,"=0",X28:X34),2)</f>
        <v>36974.54</v>
      </c>
      <c r="AL36" s="2">
        <f>ROUND(SUMIF(AA28:AA34,"=0",Y28:Y34),2)</f>
        <v>19862.36</v>
      </c>
      <c r="AM36" s="2"/>
      <c r="AN36" s="2">
        <f>ROUND(AO36,2)</f>
        <v>0</v>
      </c>
      <c r="AO36" s="2">
        <f>ROUND(SUMIF(AA28:AA34,"=0",FQ28:FQ34),2)</f>
        <v>0</v>
      </c>
      <c r="AP36" s="2">
        <f>ROUND(AQ36,2)</f>
        <v>0</v>
      </c>
      <c r="AQ36" s="2">
        <f>ROUND(SUM(FR28:FR34),2)</f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201</v>
      </c>
      <c r="F38" s="3">
        <f>Source!O36</f>
        <v>94153.65</v>
      </c>
      <c r="G38" s="3" t="s">
        <v>49</v>
      </c>
      <c r="H38" s="3" t="s">
        <v>50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202</v>
      </c>
      <c r="F39" s="3">
        <f>Source!P36</f>
        <v>63034.08</v>
      </c>
      <c r="G39" s="3" t="s">
        <v>51</v>
      </c>
      <c r="H39" s="3" t="s">
        <v>52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222</v>
      </c>
      <c r="F40" s="3">
        <f>Source!AN36</f>
        <v>0</v>
      </c>
      <c r="G40" s="3" t="s">
        <v>53</v>
      </c>
      <c r="H40" s="3" t="s">
        <v>54</v>
      </c>
      <c r="I40" s="3"/>
      <c r="J40" s="3"/>
      <c r="K40" s="3">
        <v>222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216</v>
      </c>
      <c r="F41" s="3">
        <f>Source!AP36</f>
        <v>0</v>
      </c>
      <c r="G41" s="3" t="s">
        <v>55</v>
      </c>
      <c r="H41" s="3" t="s">
        <v>56</v>
      </c>
      <c r="I41" s="3"/>
      <c r="J41" s="3"/>
      <c r="K41" s="3">
        <v>216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203</v>
      </c>
      <c r="F42" s="3">
        <f>Source!Q36</f>
        <v>788.1</v>
      </c>
      <c r="G42" s="3" t="s">
        <v>57</v>
      </c>
      <c r="H42" s="3" t="s">
        <v>58</v>
      </c>
      <c r="I42" s="3"/>
      <c r="J42" s="3"/>
      <c r="K42" s="3">
        <v>203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204</v>
      </c>
      <c r="F43" s="3">
        <f>Source!R36</f>
        <v>226</v>
      </c>
      <c r="G43" s="3" t="s">
        <v>59</v>
      </c>
      <c r="H43" s="3" t="s">
        <v>60</v>
      </c>
      <c r="I43" s="3"/>
      <c r="J43" s="3"/>
      <c r="K43" s="3">
        <v>204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205</v>
      </c>
      <c r="F44" s="3">
        <f>Source!S36</f>
        <v>30331.47</v>
      </c>
      <c r="G44" s="3" t="s">
        <v>61</v>
      </c>
      <c r="H44" s="3" t="s">
        <v>62</v>
      </c>
      <c r="I44" s="3"/>
      <c r="J44" s="3"/>
      <c r="K44" s="3">
        <v>205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206</v>
      </c>
      <c r="F45" s="3">
        <f>Source!T36</f>
        <v>0</v>
      </c>
      <c r="G45" s="3" t="s">
        <v>63</v>
      </c>
      <c r="H45" s="3" t="s">
        <v>64</v>
      </c>
      <c r="I45" s="3"/>
      <c r="J45" s="3"/>
      <c r="K45" s="3">
        <v>206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207</v>
      </c>
      <c r="F46" s="3">
        <f>Source!U36</f>
        <v>206.23</v>
      </c>
      <c r="G46" s="3" t="s">
        <v>65</v>
      </c>
      <c r="H46" s="3" t="s">
        <v>66</v>
      </c>
      <c r="I46" s="3"/>
      <c r="J46" s="3"/>
      <c r="K46" s="3">
        <v>207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208</v>
      </c>
      <c r="F47" s="3">
        <f>Source!V36</f>
        <v>0.94</v>
      </c>
      <c r="G47" s="3" t="s">
        <v>67</v>
      </c>
      <c r="H47" s="3" t="s">
        <v>68</v>
      </c>
      <c r="I47" s="3"/>
      <c r="J47" s="3"/>
      <c r="K47" s="3">
        <v>208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209</v>
      </c>
      <c r="F48" s="3">
        <f>Source!W36</f>
        <v>0</v>
      </c>
      <c r="G48" s="3" t="s">
        <v>69</v>
      </c>
      <c r="H48" s="3" t="s">
        <v>70</v>
      </c>
      <c r="I48" s="3"/>
      <c r="J48" s="3"/>
      <c r="K48" s="3">
        <v>209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210</v>
      </c>
      <c r="F49" s="3">
        <f>Source!X36</f>
        <v>36974.54</v>
      </c>
      <c r="G49" s="3" t="s">
        <v>71</v>
      </c>
      <c r="H49" s="3" t="s">
        <v>72</v>
      </c>
      <c r="I49" s="3"/>
      <c r="J49" s="3"/>
      <c r="K49" s="3">
        <v>210</v>
      </c>
      <c r="L49" s="3">
        <v>12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211</v>
      </c>
      <c r="F50" s="3">
        <f>Source!Y36</f>
        <v>19862.36</v>
      </c>
      <c r="G50" s="3" t="s">
        <v>73</v>
      </c>
      <c r="H50" s="3" t="s">
        <v>74</v>
      </c>
      <c r="I50" s="3"/>
      <c r="J50" s="3"/>
      <c r="K50" s="3">
        <v>211</v>
      </c>
      <c r="L50" s="3">
        <v>13</v>
      </c>
      <c r="M50" s="3">
        <v>3</v>
      </c>
      <c r="N50" s="3" t="s">
        <v>3</v>
      </c>
    </row>
    <row r="51" ht="12.75">
      <c r="G51">
        <v>0</v>
      </c>
    </row>
    <row r="52" spans="1:67" ht="12.75">
      <c r="A52" s="1">
        <v>4</v>
      </c>
      <c r="B52" s="1">
        <v>1</v>
      </c>
      <c r="C52" s="1"/>
      <c r="D52" s="1">
        <f>ROW(A63)</f>
        <v>63</v>
      </c>
      <c r="E52" s="1"/>
      <c r="F52" s="1" t="s">
        <v>14</v>
      </c>
      <c r="G52" s="1" t="s">
        <v>445</v>
      </c>
      <c r="H52" s="1"/>
      <c r="I52" s="1"/>
      <c r="J52" s="1"/>
      <c r="K52" s="1"/>
      <c r="L52" s="1"/>
      <c r="M52" s="1"/>
      <c r="N52" s="1" t="s">
        <v>3</v>
      </c>
      <c r="O52" s="1"/>
      <c r="P52" s="1"/>
      <c r="Q52" s="1"/>
      <c r="R52" s="1" t="s">
        <v>3</v>
      </c>
      <c r="S52" s="1" t="s">
        <v>3</v>
      </c>
      <c r="T52" s="1" t="s">
        <v>3</v>
      </c>
      <c r="U52" s="1" t="s">
        <v>3</v>
      </c>
      <c r="V52" s="1"/>
      <c r="W52" s="1"/>
      <c r="X52" s="1">
        <v>0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v>0</v>
      </c>
      <c r="AM52" s="1"/>
      <c r="AN52" s="1"/>
      <c r="AO52" s="1" t="s">
        <v>3</v>
      </c>
      <c r="AP52" s="1" t="s">
        <v>3</v>
      </c>
      <c r="AQ52" s="1" t="s">
        <v>3</v>
      </c>
      <c r="AR52" s="1"/>
      <c r="AS52" s="1"/>
      <c r="AT52" s="1" t="s">
        <v>3</v>
      </c>
      <c r="AU52" s="1" t="s">
        <v>3</v>
      </c>
      <c r="AV52" s="1" t="s">
        <v>3</v>
      </c>
      <c r="AW52" s="1" t="s">
        <v>3</v>
      </c>
      <c r="AX52" s="1" t="s">
        <v>3</v>
      </c>
      <c r="AY52" s="1" t="s">
        <v>3</v>
      </c>
      <c r="AZ52" s="1" t="s">
        <v>3</v>
      </c>
      <c r="BA52" s="1" t="s">
        <v>3</v>
      </c>
      <c r="BB52" s="1" t="s">
        <v>3</v>
      </c>
      <c r="BC52" s="1" t="s">
        <v>3</v>
      </c>
      <c r="BD52" s="1" t="s">
        <v>3</v>
      </c>
      <c r="BE52" s="1" t="s">
        <v>75</v>
      </c>
      <c r="BF52" s="1">
        <v>0</v>
      </c>
      <c r="BG52" s="1">
        <v>0</v>
      </c>
      <c r="BH52" s="1" t="s">
        <v>3</v>
      </c>
      <c r="BI52" s="1" t="s">
        <v>3</v>
      </c>
      <c r="BJ52" s="1" t="s">
        <v>3</v>
      </c>
      <c r="BK52" s="1" t="s">
        <v>3</v>
      </c>
      <c r="BL52" s="1" t="s">
        <v>3</v>
      </c>
      <c r="BM52" s="1">
        <v>0</v>
      </c>
      <c r="BN52" s="1" t="s">
        <v>3</v>
      </c>
      <c r="BO52" s="1">
        <v>0</v>
      </c>
    </row>
    <row r="54" spans="1:43" ht="12.75">
      <c r="A54" s="2">
        <v>52</v>
      </c>
      <c r="B54" s="2">
        <f aca="true" t="shared" si="27" ref="B54:AQ54">B63</f>
        <v>1</v>
      </c>
      <c r="C54" s="2">
        <f t="shared" si="27"/>
        <v>4</v>
      </c>
      <c r="D54" s="2">
        <f t="shared" si="27"/>
        <v>52</v>
      </c>
      <c r="E54" s="2">
        <f t="shared" si="27"/>
        <v>0</v>
      </c>
      <c r="F54" s="2" t="str">
        <f t="shared" si="27"/>
        <v>Новый раздел</v>
      </c>
      <c r="G54" s="2" t="str">
        <f t="shared" si="27"/>
        <v>Расширение дороги</v>
      </c>
      <c r="H54" s="2">
        <f t="shared" si="27"/>
        <v>0</v>
      </c>
      <c r="I54" s="2">
        <f t="shared" si="27"/>
        <v>0</v>
      </c>
      <c r="J54" s="2">
        <f t="shared" si="27"/>
        <v>0</v>
      </c>
      <c r="K54" s="2">
        <f t="shared" si="27"/>
        <v>0</v>
      </c>
      <c r="L54" s="2">
        <f t="shared" si="27"/>
        <v>0</v>
      </c>
      <c r="M54" s="2">
        <f t="shared" si="27"/>
        <v>0</v>
      </c>
      <c r="N54" s="2">
        <f t="shared" si="27"/>
        <v>0</v>
      </c>
      <c r="O54" s="2">
        <f t="shared" si="27"/>
        <v>34540.98</v>
      </c>
      <c r="P54" s="2">
        <f t="shared" si="27"/>
        <v>25599.97</v>
      </c>
      <c r="Q54" s="2">
        <f t="shared" si="27"/>
        <v>8100.22</v>
      </c>
      <c r="R54" s="2">
        <f t="shared" si="27"/>
        <v>1352.16</v>
      </c>
      <c r="S54" s="2">
        <f t="shared" si="27"/>
        <v>840.79</v>
      </c>
      <c r="T54" s="2">
        <f t="shared" si="27"/>
        <v>0</v>
      </c>
      <c r="U54" s="2">
        <f t="shared" si="27"/>
        <v>5.86</v>
      </c>
      <c r="V54" s="2">
        <f t="shared" si="27"/>
        <v>5.7</v>
      </c>
      <c r="W54" s="2">
        <f t="shared" si="27"/>
        <v>0</v>
      </c>
      <c r="X54" s="2">
        <f t="shared" si="27"/>
        <v>2549.99</v>
      </c>
      <c r="Y54" s="2">
        <f t="shared" si="27"/>
        <v>1345.22</v>
      </c>
      <c r="Z54" s="2">
        <f t="shared" si="27"/>
        <v>0</v>
      </c>
      <c r="AA54" s="2">
        <f t="shared" si="27"/>
        <v>0</v>
      </c>
      <c r="AB54" s="2">
        <f t="shared" si="27"/>
        <v>34540.98</v>
      </c>
      <c r="AC54" s="2">
        <f t="shared" si="27"/>
        <v>25599.97</v>
      </c>
      <c r="AD54" s="2">
        <f t="shared" si="27"/>
        <v>8100.22</v>
      </c>
      <c r="AE54" s="2">
        <f t="shared" si="27"/>
        <v>1352.16</v>
      </c>
      <c r="AF54" s="2">
        <f t="shared" si="27"/>
        <v>840.79</v>
      </c>
      <c r="AG54" s="2">
        <f t="shared" si="27"/>
        <v>0</v>
      </c>
      <c r="AH54" s="2">
        <f t="shared" si="27"/>
        <v>5.86</v>
      </c>
      <c r="AI54" s="2">
        <f t="shared" si="27"/>
        <v>5.7</v>
      </c>
      <c r="AJ54" s="2">
        <f t="shared" si="27"/>
        <v>0</v>
      </c>
      <c r="AK54" s="2">
        <f t="shared" si="27"/>
        <v>2549.99</v>
      </c>
      <c r="AL54" s="2">
        <f t="shared" si="27"/>
        <v>1345.22</v>
      </c>
      <c r="AM54" s="2">
        <f t="shared" si="27"/>
        <v>0</v>
      </c>
      <c r="AN54" s="2">
        <f t="shared" si="27"/>
        <v>0</v>
      </c>
      <c r="AO54" s="2">
        <f t="shared" si="27"/>
        <v>0</v>
      </c>
      <c r="AP54" s="2">
        <f t="shared" si="27"/>
        <v>0</v>
      </c>
      <c r="AQ54" s="2">
        <f t="shared" si="27"/>
        <v>0</v>
      </c>
    </row>
    <row r="56" spans="1:193" ht="12.75">
      <c r="A56">
        <v>17</v>
      </c>
      <c r="B56">
        <v>1</v>
      </c>
      <c r="C56">
        <f>ROW(SmtRes!A27)</f>
        <v>27</v>
      </c>
      <c r="D56">
        <f>ROW(EtalonRes!A25)</f>
        <v>25</v>
      </c>
      <c r="E56" t="s">
        <v>76</v>
      </c>
      <c r="F56" t="s">
        <v>77</v>
      </c>
      <c r="G56" t="s">
        <v>78</v>
      </c>
      <c r="H56" t="s">
        <v>79</v>
      </c>
      <c r="I56">
        <v>0.0205</v>
      </c>
      <c r="J56">
        <v>0</v>
      </c>
      <c r="O56">
        <f aca="true" t="shared" si="28" ref="O56:O61">ROUND(CP56,2)</f>
        <v>782.09</v>
      </c>
      <c r="P56">
        <f aca="true" t="shared" si="29" ref="P56:P61">ROUND(CQ56*I56,2)</f>
        <v>1.06</v>
      </c>
      <c r="Q56">
        <f aca="true" t="shared" si="30" ref="Q56:Q61">ROUND(CR56*I56,2)</f>
        <v>738.52</v>
      </c>
      <c r="R56">
        <f aca="true" t="shared" si="31" ref="R56:R61">ROUND(CS56*I56,2)</f>
        <v>216.19</v>
      </c>
      <c r="S56">
        <f aca="true" t="shared" si="32" ref="S56:S61">ROUND(CT56*I56,2)</f>
        <v>42.51</v>
      </c>
      <c r="T56">
        <f aca="true" t="shared" si="33" ref="T56:T61">ROUND(CU56*I56,2)</f>
        <v>0</v>
      </c>
      <c r="U56">
        <f aca="true" t="shared" si="34" ref="U56:U61">CV56*I56</f>
        <v>0.30914</v>
      </c>
      <c r="V56">
        <f aca="true" t="shared" si="35" ref="V56:V61">CW56*I56</f>
        <v>0.89421</v>
      </c>
      <c r="W56">
        <f aca="true" t="shared" si="36" ref="W56:W61">ROUND(CX56*I56,2)</f>
        <v>0</v>
      </c>
      <c r="X56">
        <f aca="true" t="shared" si="37" ref="X56:Y61">ROUND(CY56,2)</f>
        <v>209.55</v>
      </c>
      <c r="Y56">
        <f t="shared" si="37"/>
        <v>87.96</v>
      </c>
      <c r="AA56">
        <v>0</v>
      </c>
      <c r="AB56">
        <f aca="true" t="shared" si="38" ref="AB56:AB61">(AC56+AD56+AF56)</f>
        <v>4277.16</v>
      </c>
      <c r="AC56">
        <f aca="true" t="shared" si="39" ref="AC56:AF58">(ES56)</f>
        <v>4.34</v>
      </c>
      <c r="AD56">
        <f t="shared" si="39"/>
        <v>4155.2</v>
      </c>
      <c r="AE56">
        <f t="shared" si="39"/>
        <v>598.18</v>
      </c>
      <c r="AF56">
        <f t="shared" si="39"/>
        <v>117.62</v>
      </c>
      <c r="AG56">
        <f>(AP56)</f>
        <v>0</v>
      </c>
      <c r="AH56">
        <f aca="true" t="shared" si="40" ref="AH56:AI58">(EW56)</f>
        <v>15.08</v>
      </c>
      <c r="AI56">
        <f t="shared" si="40"/>
        <v>43.62</v>
      </c>
      <c r="AJ56">
        <f>(AS56)</f>
        <v>0</v>
      </c>
      <c r="AK56">
        <v>4277.16</v>
      </c>
      <c r="AL56">
        <v>4.34</v>
      </c>
      <c r="AM56">
        <v>4155.2</v>
      </c>
      <c r="AN56">
        <v>598.18</v>
      </c>
      <c r="AO56">
        <v>117.62</v>
      </c>
      <c r="AP56">
        <v>0</v>
      </c>
      <c r="AQ56">
        <v>15.08</v>
      </c>
      <c r="AR56">
        <v>43.62</v>
      </c>
      <c r="AS56">
        <v>0</v>
      </c>
      <c r="AT56">
        <v>81</v>
      </c>
      <c r="AU56">
        <v>34</v>
      </c>
      <c r="AV56">
        <v>1</v>
      </c>
      <c r="AW56">
        <v>1</v>
      </c>
      <c r="AX56">
        <v>1</v>
      </c>
      <c r="AY56">
        <v>1</v>
      </c>
      <c r="AZ56">
        <v>10.04</v>
      </c>
      <c r="BA56">
        <v>17.63</v>
      </c>
      <c r="BB56">
        <v>8.67</v>
      </c>
      <c r="BC56">
        <v>11.94</v>
      </c>
      <c r="BH56">
        <v>0</v>
      </c>
      <c r="BI56">
        <v>1</v>
      </c>
      <c r="BJ56" t="s">
        <v>80</v>
      </c>
      <c r="BM56">
        <v>1</v>
      </c>
      <c r="BN56">
        <v>0</v>
      </c>
      <c r="BO56" t="s">
        <v>77</v>
      </c>
      <c r="BP56">
        <v>1</v>
      </c>
      <c r="BQ56">
        <v>2</v>
      </c>
      <c r="BR56">
        <v>0</v>
      </c>
      <c r="BS56">
        <v>17.63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95</v>
      </c>
      <c r="CA56">
        <v>50</v>
      </c>
      <c r="CF56">
        <v>0</v>
      </c>
      <c r="CG56">
        <v>0</v>
      </c>
      <c r="CM56">
        <v>0</v>
      </c>
      <c r="CO56">
        <v>0</v>
      </c>
      <c r="CP56">
        <f aca="true" t="shared" si="41" ref="CP56:CP61">(P56+Q56+S56)</f>
        <v>782.0899999999999</v>
      </c>
      <c r="CQ56">
        <f aca="true" t="shared" si="42" ref="CQ56:CQ61">(AC56)*BC56</f>
        <v>51.819599999999994</v>
      </c>
      <c r="CR56">
        <f aca="true" t="shared" si="43" ref="CR56:CR61">(AD56)*BB56</f>
        <v>36025.583999999995</v>
      </c>
      <c r="CS56">
        <f aca="true" t="shared" si="44" ref="CS56:CS61">(AE56)*BS56</f>
        <v>10545.913399999998</v>
      </c>
      <c r="CT56">
        <f aca="true" t="shared" si="45" ref="CT56:CT61">(AF56)*BA56</f>
        <v>2073.6406</v>
      </c>
      <c r="CU56">
        <f aca="true" t="shared" si="46" ref="CU56:CX61">(AG56)*BT56</f>
        <v>0</v>
      </c>
      <c r="CV56">
        <f t="shared" si="46"/>
        <v>15.08</v>
      </c>
      <c r="CW56">
        <f t="shared" si="46"/>
        <v>43.62</v>
      </c>
      <c r="CX56">
        <f t="shared" si="46"/>
        <v>0</v>
      </c>
      <c r="CY56">
        <f aca="true" t="shared" si="47" ref="CY56:CY61">((S56+R56)*(ROUND((FX56*IF(1,(IF(0,0.94,0.85)*IF(0,0.85,1)),1)),IF(1,0,2))/100))</f>
        <v>209.547</v>
      </c>
      <c r="CZ56">
        <f aca="true" t="shared" si="48" ref="CZ56:CZ61">((S56+R56)*(ROUND((FY56*IF(1,0.8,1)),IF(1,0,2))/100))</f>
        <v>87.958</v>
      </c>
      <c r="DN56">
        <v>0</v>
      </c>
      <c r="DO56">
        <v>0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1007</v>
      </c>
      <c r="DV56" t="s">
        <v>79</v>
      </c>
      <c r="DW56" t="s">
        <v>81</v>
      </c>
      <c r="DX56">
        <v>1000</v>
      </c>
      <c r="EE56">
        <v>26532776</v>
      </c>
      <c r="EF56">
        <v>2</v>
      </c>
      <c r="EG56" t="s">
        <v>22</v>
      </c>
      <c r="EH56">
        <v>0</v>
      </c>
      <c r="EJ56">
        <v>1</v>
      </c>
      <c r="EK56">
        <v>1</v>
      </c>
      <c r="EL56" t="s">
        <v>82</v>
      </c>
      <c r="EM56" t="s">
        <v>83</v>
      </c>
      <c r="EQ56">
        <v>0</v>
      </c>
      <c r="ER56">
        <v>4277.16</v>
      </c>
      <c r="ES56">
        <v>4.34</v>
      </c>
      <c r="ET56">
        <v>4155.2</v>
      </c>
      <c r="EU56">
        <v>598.18</v>
      </c>
      <c r="EV56">
        <v>117.62</v>
      </c>
      <c r="EW56">
        <v>15.08</v>
      </c>
      <c r="EX56">
        <v>43.62</v>
      </c>
      <c r="EY56">
        <v>0</v>
      </c>
      <c r="EZ56">
        <v>0</v>
      </c>
      <c r="FQ56">
        <v>0</v>
      </c>
      <c r="FR56">
        <f aca="true" t="shared" si="49" ref="FR56:FR61">ROUND(IF(AND(AA56=0,BI56=3),P56,0),2)</f>
        <v>0</v>
      </c>
      <c r="FS56">
        <v>0</v>
      </c>
      <c r="FU56" t="s">
        <v>25</v>
      </c>
      <c r="FV56" t="s">
        <v>26</v>
      </c>
      <c r="FW56" t="s">
        <v>27</v>
      </c>
      <c r="FX56">
        <v>95</v>
      </c>
      <c r="FY56">
        <v>42.5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</row>
    <row r="57" spans="1:193" ht="12.75">
      <c r="A57">
        <v>17</v>
      </c>
      <c r="B57">
        <v>1</v>
      </c>
      <c r="E57" t="s">
        <v>84</v>
      </c>
      <c r="F57" t="s">
        <v>85</v>
      </c>
      <c r="G57" t="s">
        <v>86</v>
      </c>
      <c r="H57" t="s">
        <v>87</v>
      </c>
      <c r="I57">
        <v>36</v>
      </c>
      <c r="J57">
        <v>0</v>
      </c>
      <c r="O57">
        <f t="shared" si="28"/>
        <v>2801.94</v>
      </c>
      <c r="P57">
        <f t="shared" si="29"/>
        <v>0</v>
      </c>
      <c r="Q57">
        <f t="shared" si="30"/>
        <v>2801.94</v>
      </c>
      <c r="R57">
        <f t="shared" si="31"/>
        <v>0</v>
      </c>
      <c r="S57">
        <f t="shared" si="32"/>
        <v>0</v>
      </c>
      <c r="T57">
        <f t="shared" si="33"/>
        <v>0</v>
      </c>
      <c r="U57">
        <f t="shared" si="34"/>
        <v>0</v>
      </c>
      <c r="V57">
        <f t="shared" si="35"/>
        <v>0</v>
      </c>
      <c r="W57">
        <f t="shared" si="36"/>
        <v>0</v>
      </c>
      <c r="X57">
        <f t="shared" si="37"/>
        <v>0</v>
      </c>
      <c r="Y57">
        <f t="shared" si="37"/>
        <v>0</v>
      </c>
      <c r="AA57">
        <v>0</v>
      </c>
      <c r="AB57">
        <f t="shared" si="38"/>
        <v>14.63</v>
      </c>
      <c r="AC57">
        <f t="shared" si="39"/>
        <v>0</v>
      </c>
      <c r="AD57">
        <f t="shared" si="39"/>
        <v>14.63</v>
      </c>
      <c r="AE57">
        <f t="shared" si="39"/>
        <v>0</v>
      </c>
      <c r="AF57">
        <f t="shared" si="39"/>
        <v>0</v>
      </c>
      <c r="AG57">
        <f>(AP57)</f>
        <v>0</v>
      </c>
      <c r="AH57">
        <f t="shared" si="40"/>
        <v>0</v>
      </c>
      <c r="AI57">
        <f t="shared" si="40"/>
        <v>0</v>
      </c>
      <c r="AJ57">
        <f>(AS57)</f>
        <v>0</v>
      </c>
      <c r="AK57">
        <v>14.63</v>
      </c>
      <c r="AL57">
        <v>0</v>
      </c>
      <c r="AM57">
        <v>14.63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85</v>
      </c>
      <c r="AU57">
        <v>41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5.32</v>
      </c>
      <c r="BC57">
        <v>1</v>
      </c>
      <c r="BH57">
        <v>3</v>
      </c>
      <c r="BI57">
        <v>4</v>
      </c>
      <c r="BM57">
        <v>0</v>
      </c>
      <c r="BN57">
        <v>0</v>
      </c>
      <c r="BP57">
        <v>0</v>
      </c>
      <c r="BQ57">
        <v>1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100</v>
      </c>
      <c r="CA57">
        <v>60</v>
      </c>
      <c r="CF57">
        <v>0</v>
      </c>
      <c r="CG57">
        <v>0</v>
      </c>
      <c r="CM57">
        <v>0</v>
      </c>
      <c r="CO57">
        <v>0</v>
      </c>
      <c r="CP57">
        <f t="shared" si="41"/>
        <v>2801.94</v>
      </c>
      <c r="CQ57">
        <f t="shared" si="42"/>
        <v>0</v>
      </c>
      <c r="CR57">
        <f t="shared" si="43"/>
        <v>77.83160000000001</v>
      </c>
      <c r="CS57">
        <f t="shared" si="44"/>
        <v>0</v>
      </c>
      <c r="CT57">
        <f t="shared" si="45"/>
        <v>0</v>
      </c>
      <c r="CU57">
        <f t="shared" si="46"/>
        <v>0</v>
      </c>
      <c r="CV57">
        <f t="shared" si="46"/>
        <v>0</v>
      </c>
      <c r="CW57">
        <f t="shared" si="46"/>
        <v>0</v>
      </c>
      <c r="CX57">
        <f t="shared" si="46"/>
        <v>0</v>
      </c>
      <c r="CY57">
        <f t="shared" si="47"/>
        <v>0</v>
      </c>
      <c r="CZ57">
        <f t="shared" si="48"/>
        <v>0</v>
      </c>
      <c r="DN57">
        <v>0</v>
      </c>
      <c r="DO57">
        <v>0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1009</v>
      </c>
      <c r="DV57" t="s">
        <v>87</v>
      </c>
      <c r="DW57" t="s">
        <v>87</v>
      </c>
      <c r="DX57">
        <v>1000</v>
      </c>
      <c r="EE57">
        <v>26532575</v>
      </c>
      <c r="EF57">
        <v>1</v>
      </c>
      <c r="EG57" t="s">
        <v>88</v>
      </c>
      <c r="EH57">
        <v>0</v>
      </c>
      <c r="EJ57">
        <v>4</v>
      </c>
      <c r="EK57">
        <v>0</v>
      </c>
      <c r="EL57" t="s">
        <v>88</v>
      </c>
      <c r="EM57" t="s">
        <v>89</v>
      </c>
      <c r="EQ57">
        <v>0</v>
      </c>
      <c r="ER57">
        <v>0</v>
      </c>
      <c r="ES57">
        <v>0</v>
      </c>
      <c r="ET57">
        <v>14.63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Q57">
        <v>0</v>
      </c>
      <c r="FR57">
        <f t="shared" si="49"/>
        <v>0</v>
      </c>
      <c r="FS57">
        <v>0</v>
      </c>
      <c r="FU57" t="s">
        <v>25</v>
      </c>
      <c r="FV57" t="s">
        <v>26</v>
      </c>
      <c r="FW57" t="s">
        <v>27</v>
      </c>
      <c r="FX57">
        <v>100</v>
      </c>
      <c r="FY57">
        <v>51</v>
      </c>
      <c r="GA57">
        <v>14.63</v>
      </c>
      <c r="GB57">
        <v>0</v>
      </c>
      <c r="GC57">
        <v>14.63</v>
      </c>
      <c r="GD57">
        <v>0</v>
      </c>
      <c r="GE57">
        <v>0</v>
      </c>
      <c r="GF57">
        <v>14.63</v>
      </c>
      <c r="GG57">
        <v>0</v>
      </c>
      <c r="GH57">
        <v>14.63</v>
      </c>
      <c r="GI57">
        <v>0</v>
      </c>
      <c r="GJ57">
        <v>0</v>
      </c>
      <c r="GK57">
        <v>1</v>
      </c>
    </row>
    <row r="58" spans="1:193" ht="12.75">
      <c r="A58">
        <v>17</v>
      </c>
      <c r="B58">
        <v>1</v>
      </c>
      <c r="C58">
        <f>ROW(SmtRes!A35)</f>
        <v>35</v>
      </c>
      <c r="D58">
        <f>ROW(EtalonRes!A33)</f>
        <v>33</v>
      </c>
      <c r="E58" t="s">
        <v>90</v>
      </c>
      <c r="F58" t="s">
        <v>91</v>
      </c>
      <c r="G58" t="s">
        <v>92</v>
      </c>
      <c r="H58" t="s">
        <v>93</v>
      </c>
      <c r="I58">
        <v>0.164</v>
      </c>
      <c r="J58">
        <v>0</v>
      </c>
      <c r="O58">
        <f t="shared" si="28"/>
        <v>2454.67</v>
      </c>
      <c r="P58">
        <f t="shared" si="29"/>
        <v>9.9</v>
      </c>
      <c r="Q58">
        <f t="shared" si="30"/>
        <v>2075.92</v>
      </c>
      <c r="R58">
        <f t="shared" si="31"/>
        <v>519.41</v>
      </c>
      <c r="S58">
        <f t="shared" si="32"/>
        <v>368.85</v>
      </c>
      <c r="T58">
        <f t="shared" si="33"/>
        <v>0</v>
      </c>
      <c r="U58">
        <f t="shared" si="34"/>
        <v>2.5780800000000004</v>
      </c>
      <c r="V58">
        <f t="shared" si="35"/>
        <v>2.27632</v>
      </c>
      <c r="W58">
        <f t="shared" si="36"/>
        <v>0</v>
      </c>
      <c r="X58">
        <f t="shared" si="37"/>
        <v>1074.79</v>
      </c>
      <c r="Y58">
        <f t="shared" si="37"/>
        <v>577.37</v>
      </c>
      <c r="AA58">
        <v>0</v>
      </c>
      <c r="AB58">
        <f t="shared" si="38"/>
        <v>2324.46</v>
      </c>
      <c r="AC58">
        <f t="shared" si="39"/>
        <v>12.2</v>
      </c>
      <c r="AD58">
        <f t="shared" si="39"/>
        <v>2186.19</v>
      </c>
      <c r="AE58">
        <f t="shared" si="39"/>
        <v>177.53</v>
      </c>
      <c r="AF58">
        <f t="shared" si="39"/>
        <v>126.07</v>
      </c>
      <c r="AG58">
        <f>(AP58)</f>
        <v>0</v>
      </c>
      <c r="AH58">
        <f t="shared" si="40"/>
        <v>15.72</v>
      </c>
      <c r="AI58">
        <f t="shared" si="40"/>
        <v>13.88</v>
      </c>
      <c r="AJ58">
        <f>(AS58)</f>
        <v>0</v>
      </c>
      <c r="AK58">
        <v>2324.46</v>
      </c>
      <c r="AL58">
        <v>12.2</v>
      </c>
      <c r="AM58">
        <v>2186.19</v>
      </c>
      <c r="AN58">
        <v>177.53</v>
      </c>
      <c r="AO58">
        <v>126.07</v>
      </c>
      <c r="AP58">
        <v>0</v>
      </c>
      <c r="AQ58">
        <v>15.72</v>
      </c>
      <c r="AR58">
        <v>13.88</v>
      </c>
      <c r="AS58">
        <v>0</v>
      </c>
      <c r="AT58">
        <v>121</v>
      </c>
      <c r="AU58">
        <v>65</v>
      </c>
      <c r="AV58">
        <v>1</v>
      </c>
      <c r="AW58">
        <v>1</v>
      </c>
      <c r="AX58">
        <v>1</v>
      </c>
      <c r="AY58">
        <v>1</v>
      </c>
      <c r="AZ58">
        <v>8.43</v>
      </c>
      <c r="BA58">
        <v>17.84</v>
      </c>
      <c r="BB58">
        <v>5.79</v>
      </c>
      <c r="BC58">
        <v>4.95</v>
      </c>
      <c r="BH58">
        <v>0</v>
      </c>
      <c r="BI58">
        <v>1</v>
      </c>
      <c r="BJ58" t="s">
        <v>94</v>
      </c>
      <c r="BM58">
        <v>27001</v>
      </c>
      <c r="BN58">
        <v>0</v>
      </c>
      <c r="BO58" t="s">
        <v>91</v>
      </c>
      <c r="BP58">
        <v>1</v>
      </c>
      <c r="BQ58">
        <v>2</v>
      </c>
      <c r="BR58">
        <v>0</v>
      </c>
      <c r="BS58">
        <v>17.84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142</v>
      </c>
      <c r="CA58">
        <v>95</v>
      </c>
      <c r="CF58">
        <v>0</v>
      </c>
      <c r="CG58">
        <v>0</v>
      </c>
      <c r="CM58">
        <v>0</v>
      </c>
      <c r="CO58">
        <v>0</v>
      </c>
      <c r="CP58">
        <f t="shared" si="41"/>
        <v>2454.67</v>
      </c>
      <c r="CQ58">
        <f t="shared" si="42"/>
        <v>60.39</v>
      </c>
      <c r="CR58">
        <f t="shared" si="43"/>
        <v>12658.0401</v>
      </c>
      <c r="CS58">
        <f t="shared" si="44"/>
        <v>3167.1352</v>
      </c>
      <c r="CT58">
        <f t="shared" si="45"/>
        <v>2249.0888</v>
      </c>
      <c r="CU58">
        <f t="shared" si="46"/>
        <v>0</v>
      </c>
      <c r="CV58">
        <f t="shared" si="46"/>
        <v>15.72</v>
      </c>
      <c r="CW58">
        <f t="shared" si="46"/>
        <v>13.88</v>
      </c>
      <c r="CX58">
        <f t="shared" si="46"/>
        <v>0</v>
      </c>
      <c r="CY58">
        <f t="shared" si="47"/>
        <v>1074.7946</v>
      </c>
      <c r="CZ58">
        <f t="shared" si="48"/>
        <v>577.369</v>
      </c>
      <c r="DN58">
        <v>0</v>
      </c>
      <c r="DO58">
        <v>0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1007</v>
      </c>
      <c r="DV58" t="s">
        <v>93</v>
      </c>
      <c r="DW58" t="s">
        <v>95</v>
      </c>
      <c r="DX58">
        <v>100</v>
      </c>
      <c r="EE58">
        <v>26532675</v>
      </c>
      <c r="EF58">
        <v>2</v>
      </c>
      <c r="EG58" t="s">
        <v>22</v>
      </c>
      <c r="EH58">
        <v>0</v>
      </c>
      <c r="EJ58">
        <v>1</v>
      </c>
      <c r="EK58">
        <v>27001</v>
      </c>
      <c r="EL58" t="s">
        <v>23</v>
      </c>
      <c r="EM58" t="s">
        <v>24</v>
      </c>
      <c r="EQ58">
        <v>0</v>
      </c>
      <c r="ER58">
        <v>2324.46</v>
      </c>
      <c r="ES58">
        <v>12.2</v>
      </c>
      <c r="ET58">
        <v>2186.19</v>
      </c>
      <c r="EU58">
        <v>177.53</v>
      </c>
      <c r="EV58">
        <v>126.07</v>
      </c>
      <c r="EW58">
        <v>15.72</v>
      </c>
      <c r="EX58">
        <v>13.88</v>
      </c>
      <c r="EY58">
        <v>0</v>
      </c>
      <c r="EZ58">
        <v>0</v>
      </c>
      <c r="FQ58">
        <v>0</v>
      </c>
      <c r="FR58">
        <f t="shared" si="49"/>
        <v>0</v>
      </c>
      <c r="FS58">
        <v>0</v>
      </c>
      <c r="FU58" t="s">
        <v>25</v>
      </c>
      <c r="FV58" t="s">
        <v>26</v>
      </c>
      <c r="FW58" t="s">
        <v>27</v>
      </c>
      <c r="FX58">
        <v>142</v>
      </c>
      <c r="FY58">
        <v>80.75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</row>
    <row r="59" spans="1:193" ht="12.75">
      <c r="A59">
        <v>18</v>
      </c>
      <c r="B59">
        <v>1</v>
      </c>
      <c r="C59">
        <v>34</v>
      </c>
      <c r="E59" t="s">
        <v>96</v>
      </c>
      <c r="F59" t="s">
        <v>97</v>
      </c>
      <c r="G59" t="s">
        <v>98</v>
      </c>
      <c r="H59" t="s">
        <v>99</v>
      </c>
      <c r="I59">
        <f>I58*J59</f>
        <v>18.04</v>
      </c>
      <c r="J59">
        <v>109.99999999999999</v>
      </c>
      <c r="O59">
        <f t="shared" si="28"/>
        <v>9221.24</v>
      </c>
      <c r="P59">
        <f t="shared" si="29"/>
        <v>9221.24</v>
      </c>
      <c r="Q59">
        <f t="shared" si="30"/>
        <v>0</v>
      </c>
      <c r="R59">
        <f t="shared" si="31"/>
        <v>0</v>
      </c>
      <c r="S59">
        <f t="shared" si="32"/>
        <v>0</v>
      </c>
      <c r="T59">
        <f t="shared" si="33"/>
        <v>0</v>
      </c>
      <c r="U59">
        <f t="shared" si="34"/>
        <v>0</v>
      </c>
      <c r="V59">
        <f t="shared" si="35"/>
        <v>0</v>
      </c>
      <c r="W59">
        <f t="shared" si="36"/>
        <v>0</v>
      </c>
      <c r="X59">
        <f t="shared" si="37"/>
        <v>0</v>
      </c>
      <c r="Y59">
        <f t="shared" si="37"/>
        <v>0</v>
      </c>
      <c r="AA59">
        <v>0</v>
      </c>
      <c r="AB59">
        <f t="shared" si="38"/>
        <v>55.26</v>
      </c>
      <c r="AC59">
        <f aca="true" t="shared" si="50" ref="AC59:AJ59">AL59</f>
        <v>55.26</v>
      </c>
      <c r="AD59">
        <f t="shared" si="50"/>
        <v>0</v>
      </c>
      <c r="AE59">
        <f t="shared" si="50"/>
        <v>0</v>
      </c>
      <c r="AF59">
        <f t="shared" si="50"/>
        <v>0</v>
      </c>
      <c r="AG59">
        <f t="shared" si="50"/>
        <v>0</v>
      </c>
      <c r="AH59">
        <f t="shared" si="50"/>
        <v>0</v>
      </c>
      <c r="AI59">
        <f t="shared" si="50"/>
        <v>0</v>
      </c>
      <c r="AJ59">
        <f t="shared" si="50"/>
        <v>0</v>
      </c>
      <c r="AK59">
        <v>55.26</v>
      </c>
      <c r="AL59">
        <v>55.26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121</v>
      </c>
      <c r="AU59">
        <v>65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9.25</v>
      </c>
      <c r="BH59">
        <v>3</v>
      </c>
      <c r="BI59">
        <v>1</v>
      </c>
      <c r="BJ59" t="s">
        <v>100</v>
      </c>
      <c r="BM59">
        <v>27001</v>
      </c>
      <c r="BN59">
        <v>0</v>
      </c>
      <c r="BO59" t="s">
        <v>97</v>
      </c>
      <c r="BP59">
        <v>1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142</v>
      </c>
      <c r="CA59">
        <v>95</v>
      </c>
      <c r="CF59">
        <v>0</v>
      </c>
      <c r="CG59">
        <v>0</v>
      </c>
      <c r="CM59">
        <v>0</v>
      </c>
      <c r="CO59">
        <v>0</v>
      </c>
      <c r="CP59">
        <f t="shared" si="41"/>
        <v>9221.24</v>
      </c>
      <c r="CQ59">
        <f t="shared" si="42"/>
        <v>511.155</v>
      </c>
      <c r="CR59">
        <f t="shared" si="43"/>
        <v>0</v>
      </c>
      <c r="CS59">
        <f t="shared" si="44"/>
        <v>0</v>
      </c>
      <c r="CT59">
        <f t="shared" si="45"/>
        <v>0</v>
      </c>
      <c r="CU59">
        <f t="shared" si="46"/>
        <v>0</v>
      </c>
      <c r="CV59">
        <f t="shared" si="46"/>
        <v>0</v>
      </c>
      <c r="CW59">
        <f t="shared" si="46"/>
        <v>0</v>
      </c>
      <c r="CX59">
        <f t="shared" si="46"/>
        <v>0</v>
      </c>
      <c r="CY59">
        <f t="shared" si="47"/>
        <v>0</v>
      </c>
      <c r="CZ59">
        <f t="shared" si="48"/>
        <v>0</v>
      </c>
      <c r="DN59">
        <v>0</v>
      </c>
      <c r="DO59">
        <v>0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1007</v>
      </c>
      <c r="DV59" t="s">
        <v>99</v>
      </c>
      <c r="DW59" t="s">
        <v>99</v>
      </c>
      <c r="DX59">
        <v>1</v>
      </c>
      <c r="EE59">
        <v>26532675</v>
      </c>
      <c r="EF59">
        <v>2</v>
      </c>
      <c r="EG59" t="s">
        <v>22</v>
      </c>
      <c r="EH59">
        <v>0</v>
      </c>
      <c r="EJ59">
        <v>1</v>
      </c>
      <c r="EK59">
        <v>27001</v>
      </c>
      <c r="EL59" t="s">
        <v>23</v>
      </c>
      <c r="EM59" t="s">
        <v>24</v>
      </c>
      <c r="EQ59">
        <v>0</v>
      </c>
      <c r="ER59">
        <v>55.26</v>
      </c>
      <c r="ES59">
        <v>55.26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0</v>
      </c>
      <c r="FQ59">
        <v>0</v>
      </c>
      <c r="FR59">
        <f t="shared" si="49"/>
        <v>0</v>
      </c>
      <c r="FS59">
        <v>0</v>
      </c>
      <c r="FU59" t="s">
        <v>25</v>
      </c>
      <c r="FV59" t="s">
        <v>26</v>
      </c>
      <c r="FW59" t="s">
        <v>27</v>
      </c>
      <c r="FX59">
        <v>142</v>
      </c>
      <c r="FY59">
        <v>80.75</v>
      </c>
      <c r="GA59">
        <v>55.26</v>
      </c>
      <c r="GB59">
        <v>55.26</v>
      </c>
      <c r="GC59">
        <v>0</v>
      </c>
      <c r="GD59">
        <v>0</v>
      </c>
      <c r="GE59">
        <v>0</v>
      </c>
      <c r="GF59">
        <v>55.26</v>
      </c>
      <c r="GG59">
        <v>55.26</v>
      </c>
      <c r="GH59">
        <v>0</v>
      </c>
      <c r="GI59">
        <v>0</v>
      </c>
      <c r="GJ59">
        <v>0</v>
      </c>
      <c r="GK59">
        <v>0</v>
      </c>
    </row>
    <row r="60" spans="1:193" ht="12.75">
      <c r="A60">
        <v>17</v>
      </c>
      <c r="B60">
        <v>1</v>
      </c>
      <c r="C60">
        <f>ROW(SmtRes!A44)</f>
        <v>44</v>
      </c>
      <c r="D60">
        <f>ROW(EtalonRes!A42)</f>
        <v>42</v>
      </c>
      <c r="E60" t="s">
        <v>101</v>
      </c>
      <c r="F60" t="s">
        <v>102</v>
      </c>
      <c r="G60" t="s">
        <v>103</v>
      </c>
      <c r="H60" t="s">
        <v>93</v>
      </c>
      <c r="I60">
        <v>0.123</v>
      </c>
      <c r="J60">
        <v>0</v>
      </c>
      <c r="O60">
        <f t="shared" si="28"/>
        <v>2923.67</v>
      </c>
      <c r="P60">
        <f t="shared" si="29"/>
        <v>10.4</v>
      </c>
      <c r="Q60">
        <f t="shared" si="30"/>
        <v>2483.84</v>
      </c>
      <c r="R60">
        <f t="shared" si="31"/>
        <v>616.56</v>
      </c>
      <c r="S60">
        <f t="shared" si="32"/>
        <v>429.43</v>
      </c>
      <c r="T60">
        <f t="shared" si="33"/>
        <v>0</v>
      </c>
      <c r="U60">
        <f t="shared" si="34"/>
        <v>2.9753700000000003</v>
      </c>
      <c r="V60">
        <f t="shared" si="35"/>
        <v>2.5338000000000003</v>
      </c>
      <c r="W60">
        <f t="shared" si="36"/>
        <v>0</v>
      </c>
      <c r="X60">
        <f t="shared" si="37"/>
        <v>1265.65</v>
      </c>
      <c r="Y60">
        <f t="shared" si="37"/>
        <v>679.89</v>
      </c>
      <c r="AA60">
        <v>0</v>
      </c>
      <c r="AB60">
        <f t="shared" si="38"/>
        <v>3578.4199999999996</v>
      </c>
      <c r="AC60">
        <f>(ES60)</f>
        <v>17.08</v>
      </c>
      <c r="AD60">
        <f>(ET60)</f>
        <v>3365.64</v>
      </c>
      <c r="AE60">
        <f>(EU60)</f>
        <v>280.98</v>
      </c>
      <c r="AF60">
        <f>(EV60)</f>
        <v>195.7</v>
      </c>
      <c r="AG60">
        <f>(AP60)</f>
        <v>0</v>
      </c>
      <c r="AH60">
        <f>(EW60)</f>
        <v>24.19</v>
      </c>
      <c r="AI60">
        <f>(EX60)</f>
        <v>20.6</v>
      </c>
      <c r="AJ60">
        <f>(AS60)</f>
        <v>0</v>
      </c>
      <c r="AK60">
        <v>3578.4199999999996</v>
      </c>
      <c r="AL60">
        <v>17.08</v>
      </c>
      <c r="AM60">
        <v>3365.64</v>
      </c>
      <c r="AN60">
        <v>280.98</v>
      </c>
      <c r="AO60">
        <v>195.7</v>
      </c>
      <c r="AP60">
        <v>0</v>
      </c>
      <c r="AQ60">
        <v>24.19</v>
      </c>
      <c r="AR60">
        <v>20.6</v>
      </c>
      <c r="AS60">
        <v>0</v>
      </c>
      <c r="AT60">
        <v>121</v>
      </c>
      <c r="AU60">
        <v>65</v>
      </c>
      <c r="AV60">
        <v>1</v>
      </c>
      <c r="AW60">
        <v>1</v>
      </c>
      <c r="AX60">
        <v>1</v>
      </c>
      <c r="AY60">
        <v>1</v>
      </c>
      <c r="AZ60">
        <v>8.6</v>
      </c>
      <c r="BA60">
        <v>17.84</v>
      </c>
      <c r="BB60">
        <v>6</v>
      </c>
      <c r="BC60">
        <v>4.95</v>
      </c>
      <c r="BH60">
        <v>0</v>
      </c>
      <c r="BI60">
        <v>1</v>
      </c>
      <c r="BJ60" t="s">
        <v>104</v>
      </c>
      <c r="BM60">
        <v>27001</v>
      </c>
      <c r="BN60">
        <v>0</v>
      </c>
      <c r="BO60" t="s">
        <v>102</v>
      </c>
      <c r="BP60">
        <v>1</v>
      </c>
      <c r="BQ60">
        <v>2</v>
      </c>
      <c r="BR60">
        <v>0</v>
      </c>
      <c r="BS60">
        <v>17.84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142</v>
      </c>
      <c r="CA60">
        <v>95</v>
      </c>
      <c r="CF60">
        <v>0</v>
      </c>
      <c r="CG60">
        <v>0</v>
      </c>
      <c r="CM60">
        <v>0</v>
      </c>
      <c r="CO60">
        <v>0</v>
      </c>
      <c r="CP60">
        <f t="shared" si="41"/>
        <v>2923.67</v>
      </c>
      <c r="CQ60">
        <f t="shared" si="42"/>
        <v>84.54599999999999</v>
      </c>
      <c r="CR60">
        <f t="shared" si="43"/>
        <v>20193.84</v>
      </c>
      <c r="CS60">
        <f t="shared" si="44"/>
        <v>5012.6832</v>
      </c>
      <c r="CT60">
        <f t="shared" si="45"/>
        <v>3491.2879999999996</v>
      </c>
      <c r="CU60">
        <f t="shared" si="46"/>
        <v>0</v>
      </c>
      <c r="CV60">
        <f t="shared" si="46"/>
        <v>24.19</v>
      </c>
      <c r="CW60">
        <f t="shared" si="46"/>
        <v>20.6</v>
      </c>
      <c r="CX60">
        <f t="shared" si="46"/>
        <v>0</v>
      </c>
      <c r="CY60">
        <f t="shared" si="47"/>
        <v>1265.6479</v>
      </c>
      <c r="CZ60">
        <f t="shared" si="48"/>
        <v>679.8935</v>
      </c>
      <c r="DN60">
        <v>0</v>
      </c>
      <c r="DO60">
        <v>0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1007</v>
      </c>
      <c r="DV60" t="s">
        <v>93</v>
      </c>
      <c r="DW60" t="s">
        <v>95</v>
      </c>
      <c r="DX60">
        <v>100</v>
      </c>
      <c r="EE60">
        <v>26532675</v>
      </c>
      <c r="EF60">
        <v>2</v>
      </c>
      <c r="EG60" t="s">
        <v>22</v>
      </c>
      <c r="EH60">
        <v>0</v>
      </c>
      <c r="EJ60">
        <v>1</v>
      </c>
      <c r="EK60">
        <v>27001</v>
      </c>
      <c r="EL60" t="s">
        <v>23</v>
      </c>
      <c r="EM60" t="s">
        <v>24</v>
      </c>
      <c r="EQ60">
        <v>0</v>
      </c>
      <c r="ER60">
        <v>3578.42</v>
      </c>
      <c r="ES60">
        <v>17.08</v>
      </c>
      <c r="ET60">
        <v>3365.64</v>
      </c>
      <c r="EU60">
        <v>280.98</v>
      </c>
      <c r="EV60">
        <v>195.7</v>
      </c>
      <c r="EW60">
        <v>24.19</v>
      </c>
      <c r="EX60">
        <v>20.6</v>
      </c>
      <c r="EY60">
        <v>0</v>
      </c>
      <c r="EZ60">
        <v>0</v>
      </c>
      <c r="FQ60">
        <v>0</v>
      </c>
      <c r="FR60">
        <f t="shared" si="49"/>
        <v>0</v>
      </c>
      <c r="FS60">
        <v>0</v>
      </c>
      <c r="FU60" t="s">
        <v>25</v>
      </c>
      <c r="FV60" t="s">
        <v>26</v>
      </c>
      <c r="FW60" t="s">
        <v>27</v>
      </c>
      <c r="FX60">
        <v>142</v>
      </c>
      <c r="FY60">
        <v>80.75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</row>
    <row r="61" spans="1:193" ht="12.75">
      <c r="A61">
        <v>18</v>
      </c>
      <c r="B61">
        <v>1</v>
      </c>
      <c r="C61">
        <v>43</v>
      </c>
      <c r="E61" t="s">
        <v>105</v>
      </c>
      <c r="F61" t="s">
        <v>106</v>
      </c>
      <c r="G61" t="s">
        <v>107</v>
      </c>
      <c r="H61" t="s">
        <v>99</v>
      </c>
      <c r="I61">
        <f>I60*J61</f>
        <v>15.375</v>
      </c>
      <c r="J61">
        <v>125</v>
      </c>
      <c r="O61">
        <f t="shared" si="28"/>
        <v>16357.37</v>
      </c>
      <c r="P61">
        <f t="shared" si="29"/>
        <v>16357.37</v>
      </c>
      <c r="Q61">
        <f t="shared" si="30"/>
        <v>0</v>
      </c>
      <c r="R61">
        <f t="shared" si="31"/>
        <v>0</v>
      </c>
      <c r="S61">
        <f t="shared" si="32"/>
        <v>0</v>
      </c>
      <c r="T61">
        <f t="shared" si="33"/>
        <v>0</v>
      </c>
      <c r="U61">
        <f t="shared" si="34"/>
        <v>0</v>
      </c>
      <c r="V61">
        <f t="shared" si="35"/>
        <v>0</v>
      </c>
      <c r="W61">
        <f t="shared" si="36"/>
        <v>0</v>
      </c>
      <c r="X61">
        <f t="shared" si="37"/>
        <v>0</v>
      </c>
      <c r="Y61">
        <f t="shared" si="37"/>
        <v>0</v>
      </c>
      <c r="AA61">
        <v>0</v>
      </c>
      <c r="AB61">
        <f t="shared" si="38"/>
        <v>98.6</v>
      </c>
      <c r="AC61">
        <f aca="true" t="shared" si="51" ref="AC61:AJ61">AL61</f>
        <v>98.6</v>
      </c>
      <c r="AD61">
        <f t="shared" si="51"/>
        <v>0</v>
      </c>
      <c r="AE61">
        <f t="shared" si="51"/>
        <v>0</v>
      </c>
      <c r="AF61">
        <f t="shared" si="51"/>
        <v>0</v>
      </c>
      <c r="AG61">
        <f t="shared" si="51"/>
        <v>0</v>
      </c>
      <c r="AH61">
        <f t="shared" si="51"/>
        <v>0</v>
      </c>
      <c r="AI61">
        <f t="shared" si="51"/>
        <v>0</v>
      </c>
      <c r="AJ61">
        <f t="shared" si="51"/>
        <v>0</v>
      </c>
      <c r="AK61">
        <v>98.6</v>
      </c>
      <c r="AL61">
        <v>98.6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121</v>
      </c>
      <c r="AU61">
        <v>65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10.79</v>
      </c>
      <c r="BH61">
        <v>3</v>
      </c>
      <c r="BI61">
        <v>1</v>
      </c>
      <c r="BJ61" t="s">
        <v>108</v>
      </c>
      <c r="BM61">
        <v>27001</v>
      </c>
      <c r="BN61">
        <v>0</v>
      </c>
      <c r="BO61" t="s">
        <v>106</v>
      </c>
      <c r="BP61">
        <v>1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142</v>
      </c>
      <c r="CA61">
        <v>95</v>
      </c>
      <c r="CF61">
        <v>0</v>
      </c>
      <c r="CG61">
        <v>0</v>
      </c>
      <c r="CM61">
        <v>0</v>
      </c>
      <c r="CO61">
        <v>0</v>
      </c>
      <c r="CP61">
        <f t="shared" si="41"/>
        <v>16357.37</v>
      </c>
      <c r="CQ61">
        <f t="shared" si="42"/>
        <v>1063.8939999999998</v>
      </c>
      <c r="CR61">
        <f t="shared" si="43"/>
        <v>0</v>
      </c>
      <c r="CS61">
        <f t="shared" si="44"/>
        <v>0</v>
      </c>
      <c r="CT61">
        <f t="shared" si="45"/>
        <v>0</v>
      </c>
      <c r="CU61">
        <f t="shared" si="46"/>
        <v>0</v>
      </c>
      <c r="CV61">
        <f t="shared" si="46"/>
        <v>0</v>
      </c>
      <c r="CW61">
        <f t="shared" si="46"/>
        <v>0</v>
      </c>
      <c r="CX61">
        <f t="shared" si="46"/>
        <v>0</v>
      </c>
      <c r="CY61">
        <f t="shared" si="47"/>
        <v>0</v>
      </c>
      <c r="CZ61">
        <f t="shared" si="48"/>
        <v>0</v>
      </c>
      <c r="DN61">
        <v>0</v>
      </c>
      <c r="DO61">
        <v>0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1007</v>
      </c>
      <c r="DV61" t="s">
        <v>99</v>
      </c>
      <c r="DW61" t="s">
        <v>99</v>
      </c>
      <c r="DX61">
        <v>1</v>
      </c>
      <c r="EE61">
        <v>26532675</v>
      </c>
      <c r="EF61">
        <v>2</v>
      </c>
      <c r="EG61" t="s">
        <v>22</v>
      </c>
      <c r="EH61">
        <v>0</v>
      </c>
      <c r="EJ61">
        <v>1</v>
      </c>
      <c r="EK61">
        <v>27001</v>
      </c>
      <c r="EL61" t="s">
        <v>23</v>
      </c>
      <c r="EM61" t="s">
        <v>24</v>
      </c>
      <c r="EQ61">
        <v>0</v>
      </c>
      <c r="ER61">
        <v>98.6</v>
      </c>
      <c r="ES61">
        <v>98.6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0</v>
      </c>
      <c r="FQ61">
        <v>0</v>
      </c>
      <c r="FR61">
        <f t="shared" si="49"/>
        <v>0</v>
      </c>
      <c r="FS61">
        <v>0</v>
      </c>
      <c r="FU61" t="s">
        <v>25</v>
      </c>
      <c r="FV61" t="s">
        <v>26</v>
      </c>
      <c r="FW61" t="s">
        <v>27</v>
      </c>
      <c r="FX61">
        <v>142</v>
      </c>
      <c r="FY61">
        <v>80.75</v>
      </c>
      <c r="GA61">
        <v>98.6</v>
      </c>
      <c r="GB61">
        <v>98.6</v>
      </c>
      <c r="GC61">
        <v>0</v>
      </c>
      <c r="GD61">
        <v>0</v>
      </c>
      <c r="GE61">
        <v>0</v>
      </c>
      <c r="GF61">
        <v>98.6</v>
      </c>
      <c r="GG61">
        <v>98.6</v>
      </c>
      <c r="GH61">
        <v>0</v>
      </c>
      <c r="GI61">
        <v>0</v>
      </c>
      <c r="GJ61">
        <v>0</v>
      </c>
      <c r="GK61">
        <v>0</v>
      </c>
    </row>
    <row r="63" spans="1:43" ht="12.75">
      <c r="A63" s="2">
        <v>51</v>
      </c>
      <c r="B63" s="2">
        <f>B52</f>
        <v>1</v>
      </c>
      <c r="C63" s="2">
        <f>A52</f>
        <v>4</v>
      </c>
      <c r="D63" s="2">
        <f>ROW(A52)</f>
        <v>52</v>
      </c>
      <c r="E63" s="2"/>
      <c r="F63" s="2" t="str">
        <f>IF(F52&lt;&gt;"",F52,"")</f>
        <v>Новый раздел</v>
      </c>
      <c r="G63" s="2" t="str">
        <f>IF(G52&lt;&gt;"",G52,"")</f>
        <v>Расширение дороги</v>
      </c>
      <c r="H63" s="2"/>
      <c r="I63" s="2"/>
      <c r="J63" s="2"/>
      <c r="K63" s="2"/>
      <c r="L63" s="2"/>
      <c r="M63" s="2"/>
      <c r="N63" s="2"/>
      <c r="O63" s="2">
        <f aca="true" t="shared" si="52" ref="O63:Y63">ROUND(AB63,2)</f>
        <v>34540.98</v>
      </c>
      <c r="P63" s="2">
        <f t="shared" si="52"/>
        <v>25599.97</v>
      </c>
      <c r="Q63" s="2">
        <f t="shared" si="52"/>
        <v>8100.22</v>
      </c>
      <c r="R63" s="2">
        <f t="shared" si="52"/>
        <v>1352.16</v>
      </c>
      <c r="S63" s="2">
        <f t="shared" si="52"/>
        <v>840.79</v>
      </c>
      <c r="T63" s="2">
        <f t="shared" si="52"/>
        <v>0</v>
      </c>
      <c r="U63" s="2">
        <f t="shared" si="52"/>
        <v>5.86</v>
      </c>
      <c r="V63" s="2">
        <f t="shared" si="52"/>
        <v>5.7</v>
      </c>
      <c r="W63" s="2">
        <f t="shared" si="52"/>
        <v>0</v>
      </c>
      <c r="X63" s="2">
        <f t="shared" si="52"/>
        <v>2549.99</v>
      </c>
      <c r="Y63" s="2">
        <f t="shared" si="52"/>
        <v>1345.22</v>
      </c>
      <c r="Z63" s="2"/>
      <c r="AA63" s="2"/>
      <c r="AB63" s="2">
        <f>ROUND(SUMIF(AA56:AA61,"=0",O56:O61),2)</f>
        <v>34540.98</v>
      </c>
      <c r="AC63" s="2">
        <f>ROUND(SUMIF(AA56:AA61,"=0",P56:P61),2)</f>
        <v>25599.97</v>
      </c>
      <c r="AD63" s="2">
        <f>ROUND(SUMIF(AA56:AA61,"=0",Q56:Q61),2)</f>
        <v>8100.22</v>
      </c>
      <c r="AE63" s="2">
        <f>ROUND(SUMIF(AA56:AA61,"=0",R56:R61),2)</f>
        <v>1352.16</v>
      </c>
      <c r="AF63" s="2">
        <f>ROUND(SUMIF(AA56:AA61,"=0",S56:S61),2)</f>
        <v>840.79</v>
      </c>
      <c r="AG63" s="2">
        <f>ROUND(SUMIF(AA56:AA61,"=0",T56:T61),2)</f>
        <v>0</v>
      </c>
      <c r="AH63" s="2">
        <f>ROUND(SUMIF(AA56:AA61,"=0",U56:U61),2)</f>
        <v>5.86</v>
      </c>
      <c r="AI63" s="2">
        <f>ROUND(SUMIF(AA56:AA61,"=0",V56:V61),2)</f>
        <v>5.7</v>
      </c>
      <c r="AJ63" s="2">
        <f>ROUND(SUMIF(AA56:AA61,"=0",W56:W61),2)</f>
        <v>0</v>
      </c>
      <c r="AK63" s="2">
        <f>ROUND(SUMIF(AA56:AA61,"=0",X56:X61),2)</f>
        <v>2549.99</v>
      </c>
      <c r="AL63" s="2">
        <f>ROUND(SUMIF(AA56:AA61,"=0",Y56:Y61),2)</f>
        <v>1345.22</v>
      </c>
      <c r="AM63" s="2"/>
      <c r="AN63" s="2">
        <f>ROUND(AO63,2)</f>
        <v>0</v>
      </c>
      <c r="AO63" s="2">
        <f>ROUND(SUMIF(AA56:AA61,"=0",FQ56:FQ61),2)</f>
        <v>0</v>
      </c>
      <c r="AP63" s="2">
        <f>ROUND(AQ63,2)</f>
        <v>0</v>
      </c>
      <c r="AQ63" s="2">
        <f>ROUND(SUM(FR56:FR61),2)</f>
        <v>0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201</v>
      </c>
      <c r="F65" s="3">
        <f>Source!O63</f>
        <v>34540.98</v>
      </c>
      <c r="G65" s="3" t="s">
        <v>49</v>
      </c>
      <c r="H65" s="3" t="s">
        <v>50</v>
      </c>
      <c r="I65" s="3"/>
      <c r="J65" s="3"/>
      <c r="K65" s="3">
        <v>201</v>
      </c>
      <c r="L65" s="3">
        <v>1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202</v>
      </c>
      <c r="F66" s="3">
        <f>Source!P63</f>
        <v>25599.97</v>
      </c>
      <c r="G66" s="3" t="s">
        <v>51</v>
      </c>
      <c r="H66" s="3" t="s">
        <v>52</v>
      </c>
      <c r="I66" s="3"/>
      <c r="J66" s="3"/>
      <c r="K66" s="3">
        <v>202</v>
      </c>
      <c r="L66" s="3">
        <v>2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222</v>
      </c>
      <c r="F67" s="3">
        <f>Source!AN63</f>
        <v>0</v>
      </c>
      <c r="G67" s="3" t="s">
        <v>53</v>
      </c>
      <c r="H67" s="3" t="s">
        <v>54</v>
      </c>
      <c r="I67" s="3"/>
      <c r="J67" s="3"/>
      <c r="K67" s="3">
        <v>222</v>
      </c>
      <c r="L67" s="3">
        <v>3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216</v>
      </c>
      <c r="F68" s="3">
        <f>Source!AP63</f>
        <v>0</v>
      </c>
      <c r="G68" s="3" t="s">
        <v>55</v>
      </c>
      <c r="H68" s="3" t="s">
        <v>56</v>
      </c>
      <c r="I68" s="3"/>
      <c r="J68" s="3"/>
      <c r="K68" s="3">
        <v>216</v>
      </c>
      <c r="L68" s="3">
        <v>4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203</v>
      </c>
      <c r="F69" s="3">
        <f>Source!Q63</f>
        <v>8100.22</v>
      </c>
      <c r="G69" s="3" t="s">
        <v>57</v>
      </c>
      <c r="H69" s="3" t="s">
        <v>58</v>
      </c>
      <c r="I69" s="3"/>
      <c r="J69" s="3"/>
      <c r="K69" s="3">
        <v>203</v>
      </c>
      <c r="L69" s="3">
        <v>5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204</v>
      </c>
      <c r="F70" s="3">
        <f>Source!R63</f>
        <v>1352.16</v>
      </c>
      <c r="G70" s="3" t="s">
        <v>59</v>
      </c>
      <c r="H70" s="3" t="s">
        <v>60</v>
      </c>
      <c r="I70" s="3"/>
      <c r="J70" s="3"/>
      <c r="K70" s="3">
        <v>204</v>
      </c>
      <c r="L70" s="3">
        <v>6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205</v>
      </c>
      <c r="F71" s="3">
        <f>Source!S63</f>
        <v>840.79</v>
      </c>
      <c r="G71" s="3" t="s">
        <v>61</v>
      </c>
      <c r="H71" s="3" t="s">
        <v>62</v>
      </c>
      <c r="I71" s="3"/>
      <c r="J71" s="3"/>
      <c r="K71" s="3">
        <v>205</v>
      </c>
      <c r="L71" s="3">
        <v>7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206</v>
      </c>
      <c r="F72" s="3">
        <f>Source!T63</f>
        <v>0</v>
      </c>
      <c r="G72" s="3" t="s">
        <v>63</v>
      </c>
      <c r="H72" s="3" t="s">
        <v>64</v>
      </c>
      <c r="I72" s="3"/>
      <c r="J72" s="3"/>
      <c r="K72" s="3">
        <v>206</v>
      </c>
      <c r="L72" s="3">
        <v>8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207</v>
      </c>
      <c r="F73" s="3">
        <f>Source!U63</f>
        <v>5.86</v>
      </c>
      <c r="G73" s="3" t="s">
        <v>65</v>
      </c>
      <c r="H73" s="3" t="s">
        <v>66</v>
      </c>
      <c r="I73" s="3"/>
      <c r="J73" s="3"/>
      <c r="K73" s="3">
        <v>207</v>
      </c>
      <c r="L73" s="3">
        <v>9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208</v>
      </c>
      <c r="F74" s="3">
        <f>Source!V63</f>
        <v>5.7</v>
      </c>
      <c r="G74" s="3" t="s">
        <v>67</v>
      </c>
      <c r="H74" s="3" t="s">
        <v>68</v>
      </c>
      <c r="I74" s="3"/>
      <c r="J74" s="3"/>
      <c r="K74" s="3">
        <v>208</v>
      </c>
      <c r="L74" s="3">
        <v>10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209</v>
      </c>
      <c r="F75" s="3">
        <f>Source!W63</f>
        <v>0</v>
      </c>
      <c r="G75" s="3" t="s">
        <v>69</v>
      </c>
      <c r="H75" s="3" t="s">
        <v>70</v>
      </c>
      <c r="I75" s="3"/>
      <c r="J75" s="3"/>
      <c r="K75" s="3">
        <v>209</v>
      </c>
      <c r="L75" s="3">
        <v>11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210</v>
      </c>
      <c r="F76" s="3">
        <f>Source!X63</f>
        <v>2549.99</v>
      </c>
      <c r="G76" s="3" t="s">
        <v>71</v>
      </c>
      <c r="H76" s="3" t="s">
        <v>72</v>
      </c>
      <c r="I76" s="3"/>
      <c r="J76" s="3"/>
      <c r="K76" s="3">
        <v>210</v>
      </c>
      <c r="L76" s="3">
        <v>12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211</v>
      </c>
      <c r="F77" s="3">
        <f>Source!Y63</f>
        <v>1345.22</v>
      </c>
      <c r="G77" s="3" t="s">
        <v>73</v>
      </c>
      <c r="H77" s="3" t="s">
        <v>74</v>
      </c>
      <c r="I77" s="3"/>
      <c r="J77" s="3"/>
      <c r="K77" s="3">
        <v>211</v>
      </c>
      <c r="L77" s="3">
        <v>13</v>
      </c>
      <c r="M77" s="3">
        <v>3</v>
      </c>
      <c r="N77" s="3" t="s">
        <v>3</v>
      </c>
    </row>
    <row r="78" ht="12.75">
      <c r="G78">
        <v>0</v>
      </c>
    </row>
    <row r="79" spans="1:67" ht="12.75">
      <c r="A79" s="1">
        <v>4</v>
      </c>
      <c r="B79" s="1">
        <v>1</v>
      </c>
      <c r="C79" s="1"/>
      <c r="D79" s="1">
        <f>ROW(A88)</f>
        <v>88</v>
      </c>
      <c r="E79" s="1"/>
      <c r="F79" s="1" t="s">
        <v>14</v>
      </c>
      <c r="G79" s="1" t="s">
        <v>446</v>
      </c>
      <c r="H79" s="1"/>
      <c r="I79" s="1"/>
      <c r="J79" s="1"/>
      <c r="K79" s="1"/>
      <c r="L79" s="1"/>
      <c r="M79" s="1"/>
      <c r="N79" s="1" t="s">
        <v>3</v>
      </c>
      <c r="O79" s="1"/>
      <c r="P79" s="1"/>
      <c r="Q79" s="1"/>
      <c r="R79" s="1" t="s">
        <v>3</v>
      </c>
      <c r="S79" s="1" t="s">
        <v>3</v>
      </c>
      <c r="T79" s="1" t="s">
        <v>3</v>
      </c>
      <c r="U79" s="1" t="s">
        <v>3</v>
      </c>
      <c r="V79" s="1"/>
      <c r="W79" s="1"/>
      <c r="X79" s="1"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>
        <v>0</v>
      </c>
      <c r="AM79" s="1"/>
      <c r="AN79" s="1"/>
      <c r="AO79" s="1" t="s">
        <v>3</v>
      </c>
      <c r="AP79" s="1" t="s">
        <v>3</v>
      </c>
      <c r="AQ79" s="1" t="s">
        <v>3</v>
      </c>
      <c r="AR79" s="1"/>
      <c r="AS79" s="1"/>
      <c r="AT79" s="1" t="s">
        <v>3</v>
      </c>
      <c r="AU79" s="1" t="s">
        <v>3</v>
      </c>
      <c r="AV79" s="1" t="s">
        <v>3</v>
      </c>
      <c r="AW79" s="1" t="s">
        <v>3</v>
      </c>
      <c r="AX79" s="1" t="s">
        <v>3</v>
      </c>
      <c r="AY79" s="1" t="s">
        <v>3</v>
      </c>
      <c r="AZ79" s="1" t="s">
        <v>3</v>
      </c>
      <c r="BA79" s="1" t="s">
        <v>3</v>
      </c>
      <c r="BB79" s="1" t="s">
        <v>3</v>
      </c>
      <c r="BC79" s="1" t="s">
        <v>3</v>
      </c>
      <c r="BD79" s="1" t="s">
        <v>3</v>
      </c>
      <c r="BE79" s="1" t="s">
        <v>109</v>
      </c>
      <c r="BF79" s="1">
        <v>0</v>
      </c>
      <c r="BG79" s="1">
        <v>0</v>
      </c>
      <c r="BH79" s="1" t="s">
        <v>3</v>
      </c>
      <c r="BI79" s="1" t="s">
        <v>3</v>
      </c>
      <c r="BJ79" s="1" t="s">
        <v>3</v>
      </c>
      <c r="BK79" s="1" t="s">
        <v>3</v>
      </c>
      <c r="BL79" s="1" t="s">
        <v>3</v>
      </c>
      <c r="BM79" s="1">
        <v>0</v>
      </c>
      <c r="BN79" s="1" t="s">
        <v>3</v>
      </c>
      <c r="BO79" s="1">
        <v>0</v>
      </c>
    </row>
    <row r="81" spans="1:43" ht="12.75">
      <c r="A81" s="2">
        <v>52</v>
      </c>
      <c r="B81" s="2">
        <f aca="true" t="shared" si="53" ref="B81:AQ81">B88</f>
        <v>1</v>
      </c>
      <c r="C81" s="2">
        <f t="shared" si="53"/>
        <v>4</v>
      </c>
      <c r="D81" s="2">
        <f t="shared" si="53"/>
        <v>79</v>
      </c>
      <c r="E81" s="2">
        <f t="shared" si="53"/>
        <v>0</v>
      </c>
      <c r="F81" s="2" t="str">
        <f t="shared" si="53"/>
        <v>Новый раздел</v>
      </c>
      <c r="G81" s="2" t="str">
        <f t="shared" si="53"/>
        <v>Ремонт парковочного кармана</v>
      </c>
      <c r="H81" s="2">
        <f t="shared" si="53"/>
        <v>0</v>
      </c>
      <c r="I81" s="2">
        <f t="shared" si="53"/>
        <v>0</v>
      </c>
      <c r="J81" s="2">
        <f t="shared" si="53"/>
        <v>0</v>
      </c>
      <c r="K81" s="2">
        <f t="shared" si="53"/>
        <v>0</v>
      </c>
      <c r="L81" s="2">
        <f t="shared" si="53"/>
        <v>0</v>
      </c>
      <c r="M81" s="2">
        <f t="shared" si="53"/>
        <v>0</v>
      </c>
      <c r="N81" s="2">
        <f t="shared" si="53"/>
        <v>0</v>
      </c>
      <c r="O81" s="2">
        <f t="shared" si="53"/>
        <v>61748.63</v>
      </c>
      <c r="P81" s="2">
        <f t="shared" si="53"/>
        <v>55817.3</v>
      </c>
      <c r="Q81" s="2">
        <f t="shared" si="53"/>
        <v>4628.81</v>
      </c>
      <c r="R81" s="2">
        <f t="shared" si="53"/>
        <v>1342.3</v>
      </c>
      <c r="S81" s="2">
        <f t="shared" si="53"/>
        <v>1302.52</v>
      </c>
      <c r="T81" s="2">
        <f t="shared" si="53"/>
        <v>0</v>
      </c>
      <c r="U81" s="2">
        <f t="shared" si="53"/>
        <v>8.22</v>
      </c>
      <c r="V81" s="2">
        <f t="shared" si="53"/>
        <v>5.5</v>
      </c>
      <c r="W81" s="2">
        <f t="shared" si="53"/>
        <v>0</v>
      </c>
      <c r="X81" s="2">
        <f t="shared" si="53"/>
        <v>3200.23</v>
      </c>
      <c r="Y81" s="2">
        <f t="shared" si="53"/>
        <v>1719.14</v>
      </c>
      <c r="Z81" s="2">
        <f t="shared" si="53"/>
        <v>0</v>
      </c>
      <c r="AA81" s="2">
        <f t="shared" si="53"/>
        <v>0</v>
      </c>
      <c r="AB81" s="2">
        <f t="shared" si="53"/>
        <v>61748.63</v>
      </c>
      <c r="AC81" s="2">
        <f t="shared" si="53"/>
        <v>55817.3</v>
      </c>
      <c r="AD81" s="2">
        <f t="shared" si="53"/>
        <v>4628.81</v>
      </c>
      <c r="AE81" s="2">
        <f t="shared" si="53"/>
        <v>1342.3</v>
      </c>
      <c r="AF81" s="2">
        <f t="shared" si="53"/>
        <v>1302.52</v>
      </c>
      <c r="AG81" s="2">
        <f t="shared" si="53"/>
        <v>0</v>
      </c>
      <c r="AH81" s="2">
        <f t="shared" si="53"/>
        <v>8.22</v>
      </c>
      <c r="AI81" s="2">
        <f t="shared" si="53"/>
        <v>5.5</v>
      </c>
      <c r="AJ81" s="2">
        <f t="shared" si="53"/>
        <v>0</v>
      </c>
      <c r="AK81" s="2">
        <f t="shared" si="53"/>
        <v>3200.23</v>
      </c>
      <c r="AL81" s="2">
        <f t="shared" si="53"/>
        <v>1719.14</v>
      </c>
      <c r="AM81" s="2">
        <f t="shared" si="53"/>
        <v>0</v>
      </c>
      <c r="AN81" s="2">
        <f t="shared" si="53"/>
        <v>0</v>
      </c>
      <c r="AO81" s="2">
        <f t="shared" si="53"/>
        <v>0</v>
      </c>
      <c r="AP81" s="2">
        <f t="shared" si="53"/>
        <v>0</v>
      </c>
      <c r="AQ81" s="2">
        <f t="shared" si="53"/>
        <v>0</v>
      </c>
    </row>
    <row r="83" spans="1:193" ht="12.75">
      <c r="A83">
        <v>17</v>
      </c>
      <c r="B83">
        <v>1</v>
      </c>
      <c r="C83">
        <f>ROW(SmtRes!A53)</f>
        <v>53</v>
      </c>
      <c r="D83">
        <f>ROW(EtalonRes!A51)</f>
        <v>51</v>
      </c>
      <c r="E83" t="s">
        <v>110</v>
      </c>
      <c r="F83" t="s">
        <v>102</v>
      </c>
      <c r="G83" t="s">
        <v>103</v>
      </c>
      <c r="H83" t="s">
        <v>93</v>
      </c>
      <c r="I83">
        <v>0.165</v>
      </c>
      <c r="J83">
        <v>0</v>
      </c>
      <c r="O83">
        <f>ROUND(CP83,2)</f>
        <v>3921.99</v>
      </c>
      <c r="P83">
        <f>ROUND(CQ83*I83,2)</f>
        <v>13.95</v>
      </c>
      <c r="Q83">
        <f>ROUND(CR83*I83,2)</f>
        <v>3331.98</v>
      </c>
      <c r="R83">
        <f>ROUND(CS83*I83,2)</f>
        <v>827.09</v>
      </c>
      <c r="S83">
        <f>ROUND(CT83*I83,2)</f>
        <v>576.06</v>
      </c>
      <c r="T83">
        <f>ROUND(CU83*I83,2)</f>
        <v>0</v>
      </c>
      <c r="U83">
        <f>CV83*I83</f>
        <v>3.9913500000000006</v>
      </c>
      <c r="V83">
        <f>CW83*I83</f>
        <v>3.3990000000000005</v>
      </c>
      <c r="W83">
        <f>ROUND(CX83*I83,2)</f>
        <v>0</v>
      </c>
      <c r="X83">
        <f aca="true" t="shared" si="54" ref="X83:Y86">ROUND(CY83,2)</f>
        <v>1697.81</v>
      </c>
      <c r="Y83">
        <f t="shared" si="54"/>
        <v>912.05</v>
      </c>
      <c r="AA83">
        <v>0</v>
      </c>
      <c r="AB83">
        <f>(AC83+AD83+AF83)</f>
        <v>3578.4199999999996</v>
      </c>
      <c r="AC83">
        <f>(ES83)</f>
        <v>17.08</v>
      </c>
      <c r="AD83">
        <f>(ET83)</f>
        <v>3365.64</v>
      </c>
      <c r="AE83">
        <f>(EU83)</f>
        <v>280.98</v>
      </c>
      <c r="AF83">
        <f>(EV83)</f>
        <v>195.7</v>
      </c>
      <c r="AG83">
        <f>(AP83)</f>
        <v>0</v>
      </c>
      <c r="AH83">
        <f>(EW83)</f>
        <v>24.19</v>
      </c>
      <c r="AI83">
        <f>(EX83)</f>
        <v>20.6</v>
      </c>
      <c r="AJ83">
        <f>(AS83)</f>
        <v>0</v>
      </c>
      <c r="AK83">
        <v>3578.4199999999996</v>
      </c>
      <c r="AL83">
        <v>17.08</v>
      </c>
      <c r="AM83">
        <v>3365.64</v>
      </c>
      <c r="AN83">
        <v>280.98</v>
      </c>
      <c r="AO83">
        <v>195.7</v>
      </c>
      <c r="AP83">
        <v>0</v>
      </c>
      <c r="AQ83">
        <v>24.19</v>
      </c>
      <c r="AR83">
        <v>20.6</v>
      </c>
      <c r="AS83">
        <v>0</v>
      </c>
      <c r="AT83">
        <v>121</v>
      </c>
      <c r="AU83">
        <v>65</v>
      </c>
      <c r="AV83">
        <v>1</v>
      </c>
      <c r="AW83">
        <v>1</v>
      </c>
      <c r="AX83">
        <v>1</v>
      </c>
      <c r="AY83">
        <v>1</v>
      </c>
      <c r="AZ83">
        <v>8.6</v>
      </c>
      <c r="BA83">
        <v>17.84</v>
      </c>
      <c r="BB83">
        <v>6</v>
      </c>
      <c r="BC83">
        <v>4.95</v>
      </c>
      <c r="BH83">
        <v>0</v>
      </c>
      <c r="BI83">
        <v>1</v>
      </c>
      <c r="BJ83" t="s">
        <v>104</v>
      </c>
      <c r="BM83">
        <v>27001</v>
      </c>
      <c r="BN83">
        <v>0</v>
      </c>
      <c r="BO83" t="s">
        <v>102</v>
      </c>
      <c r="BP83">
        <v>1</v>
      </c>
      <c r="BQ83">
        <v>2</v>
      </c>
      <c r="BR83">
        <v>0</v>
      </c>
      <c r="BS83">
        <v>17.84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142</v>
      </c>
      <c r="CA83">
        <v>95</v>
      </c>
      <c r="CF83">
        <v>0</v>
      </c>
      <c r="CG83">
        <v>0</v>
      </c>
      <c r="CM83">
        <v>0</v>
      </c>
      <c r="CO83">
        <v>0</v>
      </c>
      <c r="CP83">
        <f>(P83+Q83+S83)</f>
        <v>3921.99</v>
      </c>
      <c r="CQ83">
        <f>(AC83)*BC83</f>
        <v>84.54599999999999</v>
      </c>
      <c r="CR83">
        <f>(AD83)*BB83</f>
        <v>20193.84</v>
      </c>
      <c r="CS83">
        <f>(AE83)*BS83</f>
        <v>5012.6832</v>
      </c>
      <c r="CT83">
        <f>(AF83)*BA83</f>
        <v>3491.2879999999996</v>
      </c>
      <c r="CU83">
        <f aca="true" t="shared" si="55" ref="CU83:CX86">(AG83)*BT83</f>
        <v>0</v>
      </c>
      <c r="CV83">
        <f t="shared" si="55"/>
        <v>24.19</v>
      </c>
      <c r="CW83">
        <f t="shared" si="55"/>
        <v>20.6</v>
      </c>
      <c r="CX83">
        <f t="shared" si="55"/>
        <v>0</v>
      </c>
      <c r="CY83">
        <f>((S83+R83)*(ROUND((FX83*IF(1,(IF(0,0.94,0.85)*IF(0,0.85,1)),1)),IF(1,0,2))/100))</f>
        <v>1697.8115</v>
      </c>
      <c r="CZ83">
        <f>((S83+R83)*(ROUND((FY83*IF(1,0.8,1)),IF(1,0,2))/100))</f>
        <v>912.0475000000001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1007</v>
      </c>
      <c r="DV83" t="s">
        <v>93</v>
      </c>
      <c r="DW83" t="s">
        <v>95</v>
      </c>
      <c r="DX83">
        <v>100</v>
      </c>
      <c r="EE83">
        <v>26532675</v>
      </c>
      <c r="EF83">
        <v>2</v>
      </c>
      <c r="EG83" t="s">
        <v>22</v>
      </c>
      <c r="EH83">
        <v>0</v>
      </c>
      <c r="EJ83">
        <v>1</v>
      </c>
      <c r="EK83">
        <v>27001</v>
      </c>
      <c r="EL83" t="s">
        <v>23</v>
      </c>
      <c r="EM83" t="s">
        <v>24</v>
      </c>
      <c r="EQ83">
        <v>0</v>
      </c>
      <c r="ER83">
        <v>3578.42</v>
      </c>
      <c r="ES83">
        <v>17.08</v>
      </c>
      <c r="ET83">
        <v>3365.64</v>
      </c>
      <c r="EU83">
        <v>280.98</v>
      </c>
      <c r="EV83">
        <v>195.7</v>
      </c>
      <c r="EW83">
        <v>24.19</v>
      </c>
      <c r="EX83">
        <v>20.6</v>
      </c>
      <c r="EY83">
        <v>0</v>
      </c>
      <c r="EZ83">
        <v>0</v>
      </c>
      <c r="FQ83">
        <v>0</v>
      </c>
      <c r="FR83">
        <f>ROUND(IF(AND(AA83=0,BI83=3),P83,0),2)</f>
        <v>0</v>
      </c>
      <c r="FS83">
        <v>0</v>
      </c>
      <c r="FU83" t="s">
        <v>25</v>
      </c>
      <c r="FV83" t="s">
        <v>26</v>
      </c>
      <c r="FW83" t="s">
        <v>27</v>
      </c>
      <c r="FX83">
        <v>142</v>
      </c>
      <c r="FY83">
        <v>80.75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</row>
    <row r="84" spans="1:193" ht="12.75">
      <c r="A84">
        <v>18</v>
      </c>
      <c r="B84">
        <v>1</v>
      </c>
      <c r="C84">
        <v>52</v>
      </c>
      <c r="E84" t="s">
        <v>111</v>
      </c>
      <c r="F84" t="s">
        <v>106</v>
      </c>
      <c r="G84" t="s">
        <v>107</v>
      </c>
      <c r="H84" t="s">
        <v>99</v>
      </c>
      <c r="I84">
        <f>I83*J84</f>
        <v>20.625</v>
      </c>
      <c r="J84">
        <v>125</v>
      </c>
      <c r="O84">
        <f>ROUND(CP84,2)</f>
        <v>21942.81</v>
      </c>
      <c r="P84">
        <f>ROUND(CQ84*I84,2)</f>
        <v>21942.81</v>
      </c>
      <c r="Q84">
        <f>ROUND(CR84*I84,2)</f>
        <v>0</v>
      </c>
      <c r="R84">
        <f>ROUND(CS84*I84,2)</f>
        <v>0</v>
      </c>
      <c r="S84">
        <f>ROUND(CT84*I84,2)</f>
        <v>0</v>
      </c>
      <c r="T84">
        <f>ROUND(CU84*I84,2)</f>
        <v>0</v>
      </c>
      <c r="U84">
        <f>CV84*I84</f>
        <v>0</v>
      </c>
      <c r="V84">
        <f>CW84*I84</f>
        <v>0</v>
      </c>
      <c r="W84">
        <f>ROUND(CX84*I84,2)</f>
        <v>0</v>
      </c>
      <c r="X84">
        <f t="shared" si="54"/>
        <v>0</v>
      </c>
      <c r="Y84">
        <f t="shared" si="54"/>
        <v>0</v>
      </c>
      <c r="AA84">
        <v>0</v>
      </c>
      <c r="AB84">
        <f>(AC84+AD84+AF84)</f>
        <v>98.6</v>
      </c>
      <c r="AC84">
        <f aca="true" t="shared" si="56" ref="AC84:AJ84">AL84</f>
        <v>98.6</v>
      </c>
      <c r="AD84">
        <f t="shared" si="56"/>
        <v>0</v>
      </c>
      <c r="AE84">
        <f t="shared" si="56"/>
        <v>0</v>
      </c>
      <c r="AF84">
        <f t="shared" si="56"/>
        <v>0</v>
      </c>
      <c r="AG84">
        <f t="shared" si="56"/>
        <v>0</v>
      </c>
      <c r="AH84">
        <f t="shared" si="56"/>
        <v>0</v>
      </c>
      <c r="AI84">
        <f t="shared" si="56"/>
        <v>0</v>
      </c>
      <c r="AJ84">
        <f t="shared" si="56"/>
        <v>0</v>
      </c>
      <c r="AK84">
        <v>98.6</v>
      </c>
      <c r="AL84">
        <v>98.6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121</v>
      </c>
      <c r="AU84">
        <v>65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10.79</v>
      </c>
      <c r="BH84">
        <v>3</v>
      </c>
      <c r="BI84">
        <v>1</v>
      </c>
      <c r="BJ84" t="s">
        <v>108</v>
      </c>
      <c r="BM84">
        <v>27001</v>
      </c>
      <c r="BN84">
        <v>0</v>
      </c>
      <c r="BO84" t="s">
        <v>106</v>
      </c>
      <c r="BP84">
        <v>1</v>
      </c>
      <c r="BQ84">
        <v>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142</v>
      </c>
      <c r="CA84">
        <v>95</v>
      </c>
      <c r="CF84">
        <v>0</v>
      </c>
      <c r="CG84">
        <v>0</v>
      </c>
      <c r="CM84">
        <v>0</v>
      </c>
      <c r="CO84">
        <v>0</v>
      </c>
      <c r="CP84">
        <f>(P84+Q84+S84)</f>
        <v>21942.81</v>
      </c>
      <c r="CQ84">
        <f>(AC84)*BC84</f>
        <v>1063.8939999999998</v>
      </c>
      <c r="CR84">
        <f>(AD84)*BB84</f>
        <v>0</v>
      </c>
      <c r="CS84">
        <f>(AE84)*BS84</f>
        <v>0</v>
      </c>
      <c r="CT84">
        <f>(AF84)*BA84</f>
        <v>0</v>
      </c>
      <c r="CU84">
        <f t="shared" si="55"/>
        <v>0</v>
      </c>
      <c r="CV84">
        <f t="shared" si="55"/>
        <v>0</v>
      </c>
      <c r="CW84">
        <f t="shared" si="55"/>
        <v>0</v>
      </c>
      <c r="CX84">
        <f t="shared" si="55"/>
        <v>0</v>
      </c>
      <c r="CY84">
        <f>((S84+R84)*(ROUND((FX84*IF(1,(IF(0,0.94,0.85)*IF(0,0.85,1)),1)),IF(1,0,2))/100))</f>
        <v>0</v>
      </c>
      <c r="CZ84">
        <f>((S84+R84)*(ROUND((FY84*IF(1,0.8,1)),IF(1,0,2))/100))</f>
        <v>0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1007</v>
      </c>
      <c r="DV84" t="s">
        <v>99</v>
      </c>
      <c r="DW84" t="s">
        <v>99</v>
      </c>
      <c r="DX84">
        <v>1</v>
      </c>
      <c r="EE84">
        <v>26532675</v>
      </c>
      <c r="EF84">
        <v>2</v>
      </c>
      <c r="EG84" t="s">
        <v>22</v>
      </c>
      <c r="EH84">
        <v>0</v>
      </c>
      <c r="EJ84">
        <v>1</v>
      </c>
      <c r="EK84">
        <v>27001</v>
      </c>
      <c r="EL84" t="s">
        <v>23</v>
      </c>
      <c r="EM84" t="s">
        <v>24</v>
      </c>
      <c r="EQ84">
        <v>0</v>
      </c>
      <c r="ER84">
        <v>98.6</v>
      </c>
      <c r="ES84">
        <v>98.6</v>
      </c>
      <c r="ET84">
        <v>0</v>
      </c>
      <c r="EU84">
        <v>0</v>
      </c>
      <c r="EV84">
        <v>0</v>
      </c>
      <c r="EW84">
        <v>0</v>
      </c>
      <c r="EX84">
        <v>0</v>
      </c>
      <c r="EZ84">
        <v>0</v>
      </c>
      <c r="FQ84">
        <v>0</v>
      </c>
      <c r="FR84">
        <f>ROUND(IF(AND(AA84=0,BI84=3),P84,0),2)</f>
        <v>0</v>
      </c>
      <c r="FS84">
        <v>0</v>
      </c>
      <c r="FU84" t="s">
        <v>25</v>
      </c>
      <c r="FV84" t="s">
        <v>26</v>
      </c>
      <c r="FW84" t="s">
        <v>27</v>
      </c>
      <c r="FX84">
        <v>142</v>
      </c>
      <c r="FY84">
        <v>80.75</v>
      </c>
      <c r="GA84">
        <v>98.6</v>
      </c>
      <c r="GB84">
        <v>98.6</v>
      </c>
      <c r="GC84">
        <v>0</v>
      </c>
      <c r="GD84">
        <v>0</v>
      </c>
      <c r="GE84">
        <v>0</v>
      </c>
      <c r="GF84">
        <v>98.6</v>
      </c>
      <c r="GG84">
        <v>98.6</v>
      </c>
      <c r="GH84">
        <v>0</v>
      </c>
      <c r="GI84">
        <v>0</v>
      </c>
      <c r="GJ84">
        <v>0</v>
      </c>
      <c r="GK84">
        <v>0</v>
      </c>
    </row>
    <row r="85" spans="1:193" ht="12.75">
      <c r="A85">
        <v>17</v>
      </c>
      <c r="B85">
        <v>1</v>
      </c>
      <c r="C85">
        <f>ROW(SmtRes!A66)</f>
        <v>66</v>
      </c>
      <c r="D85">
        <f>ROW(EtalonRes!A64)</f>
        <v>64</v>
      </c>
      <c r="E85" t="s">
        <v>112</v>
      </c>
      <c r="F85" t="s">
        <v>113</v>
      </c>
      <c r="G85" t="s">
        <v>114</v>
      </c>
      <c r="H85" t="s">
        <v>115</v>
      </c>
      <c r="I85">
        <v>0.11</v>
      </c>
      <c r="J85">
        <v>0</v>
      </c>
      <c r="O85">
        <f>ROUND(CP85,2)</f>
        <v>29118.29</v>
      </c>
      <c r="P85">
        <f>ROUND(CQ85*I85,2)</f>
        <v>27101.19</v>
      </c>
      <c r="Q85">
        <f>ROUND(CR85*I85,2)</f>
        <v>1294.05</v>
      </c>
      <c r="R85">
        <f>ROUND(CS85*I85,2)</f>
        <v>515.21</v>
      </c>
      <c r="S85">
        <f>ROUND(CT85*I85,2)</f>
        <v>723.05</v>
      </c>
      <c r="T85">
        <f>ROUND(CU85*I85,2)</f>
        <v>0</v>
      </c>
      <c r="U85">
        <f>CV85*I85</f>
        <v>4.213</v>
      </c>
      <c r="V85">
        <f>CW85*I85</f>
        <v>2.0987999999999998</v>
      </c>
      <c r="W85">
        <f>ROUND(CX85*I85,2)</f>
        <v>0</v>
      </c>
      <c r="X85">
        <f t="shared" si="54"/>
        <v>1498.29</v>
      </c>
      <c r="Y85">
        <f t="shared" si="54"/>
        <v>804.87</v>
      </c>
      <c r="AA85">
        <v>0</v>
      </c>
      <c r="AB85">
        <f>(AC85+AD85+AF85)</f>
        <v>54732.409999999996</v>
      </c>
      <c r="AC85">
        <f>(ES85)</f>
        <v>51977.74</v>
      </c>
      <c r="AD85">
        <f>(ET85)</f>
        <v>2386.22</v>
      </c>
      <c r="AE85">
        <f>(EU85)</f>
        <v>262.54</v>
      </c>
      <c r="AF85">
        <f>(EV85)</f>
        <v>368.45</v>
      </c>
      <c r="AG85">
        <f>(AP85)</f>
        <v>0</v>
      </c>
      <c r="AH85">
        <f>(EW85)</f>
        <v>38.3</v>
      </c>
      <c r="AI85">
        <f>(EX85)</f>
        <v>19.08</v>
      </c>
      <c r="AJ85">
        <f>(AS85)</f>
        <v>0</v>
      </c>
      <c r="AK85">
        <v>54732.409999999996</v>
      </c>
      <c r="AL85">
        <v>51977.74</v>
      </c>
      <c r="AM85">
        <v>2386.22</v>
      </c>
      <c r="AN85">
        <v>262.54</v>
      </c>
      <c r="AO85">
        <v>368.45</v>
      </c>
      <c r="AP85">
        <v>0</v>
      </c>
      <c r="AQ85">
        <v>38.3</v>
      </c>
      <c r="AR85">
        <v>19.08</v>
      </c>
      <c r="AS85">
        <v>0</v>
      </c>
      <c r="AT85">
        <v>121</v>
      </c>
      <c r="AU85">
        <v>65</v>
      </c>
      <c r="AV85">
        <v>1</v>
      </c>
      <c r="AW85">
        <v>1</v>
      </c>
      <c r="AX85">
        <v>1</v>
      </c>
      <c r="AY85">
        <v>1</v>
      </c>
      <c r="AZ85">
        <v>5.1</v>
      </c>
      <c r="BA85">
        <v>17.84</v>
      </c>
      <c r="BB85">
        <v>4.93</v>
      </c>
      <c r="BC85">
        <v>4.74</v>
      </c>
      <c r="BH85">
        <v>0</v>
      </c>
      <c r="BI85">
        <v>1</v>
      </c>
      <c r="BJ85" t="s">
        <v>116</v>
      </c>
      <c r="BM85">
        <v>27001</v>
      </c>
      <c r="BN85">
        <v>0</v>
      </c>
      <c r="BO85" t="s">
        <v>113</v>
      </c>
      <c r="BP85">
        <v>1</v>
      </c>
      <c r="BQ85">
        <v>2</v>
      </c>
      <c r="BR85">
        <v>0</v>
      </c>
      <c r="BS85">
        <v>17.84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142</v>
      </c>
      <c r="CA85">
        <v>95</v>
      </c>
      <c r="CF85">
        <v>0</v>
      </c>
      <c r="CG85">
        <v>0</v>
      </c>
      <c r="CM85">
        <v>0</v>
      </c>
      <c r="CO85">
        <v>0</v>
      </c>
      <c r="CP85">
        <f>(P85+Q85+S85)</f>
        <v>29118.289999999997</v>
      </c>
      <c r="CQ85">
        <f>(AC85)*BC85</f>
        <v>246374.4876</v>
      </c>
      <c r="CR85">
        <f>(AD85)*BB85</f>
        <v>11764.064599999998</v>
      </c>
      <c r="CS85">
        <f>(AE85)*BS85</f>
        <v>4683.7136</v>
      </c>
      <c r="CT85">
        <f>(AF85)*BA85</f>
        <v>6573.148</v>
      </c>
      <c r="CU85">
        <f t="shared" si="55"/>
        <v>0</v>
      </c>
      <c r="CV85">
        <f t="shared" si="55"/>
        <v>38.3</v>
      </c>
      <c r="CW85">
        <f t="shared" si="55"/>
        <v>19.08</v>
      </c>
      <c r="CX85">
        <f t="shared" si="55"/>
        <v>0</v>
      </c>
      <c r="CY85">
        <f>((S85+R85)*(ROUND((FX85*IF(1,(IF(0,0.94,0.85)*IF(0,0.85,1)),1)),IF(1,0,2))/100))</f>
        <v>1498.2946</v>
      </c>
      <c r="CZ85">
        <f>((S85+R85)*(ROUND((FY85*IF(1,0.8,1)),IF(1,0,2))/100))</f>
        <v>804.869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1005</v>
      </c>
      <c r="DV85" t="s">
        <v>115</v>
      </c>
      <c r="DW85" t="s">
        <v>117</v>
      </c>
      <c r="DX85">
        <v>1000</v>
      </c>
      <c r="EE85">
        <v>26532675</v>
      </c>
      <c r="EF85">
        <v>2</v>
      </c>
      <c r="EG85" t="s">
        <v>22</v>
      </c>
      <c r="EH85">
        <v>0</v>
      </c>
      <c r="EJ85">
        <v>1</v>
      </c>
      <c r="EK85">
        <v>27001</v>
      </c>
      <c r="EL85" t="s">
        <v>23</v>
      </c>
      <c r="EM85" t="s">
        <v>24</v>
      </c>
      <c r="EQ85">
        <v>0</v>
      </c>
      <c r="ER85">
        <v>54732.41</v>
      </c>
      <c r="ES85">
        <v>51977.74</v>
      </c>
      <c r="ET85">
        <v>2386.22</v>
      </c>
      <c r="EU85">
        <v>262.54</v>
      </c>
      <c r="EV85">
        <v>368.45</v>
      </c>
      <c r="EW85">
        <v>38.3</v>
      </c>
      <c r="EX85">
        <v>19.08</v>
      </c>
      <c r="EY85">
        <v>0</v>
      </c>
      <c r="EZ85">
        <v>0</v>
      </c>
      <c r="FQ85">
        <v>0</v>
      </c>
      <c r="FR85">
        <f>ROUND(IF(AND(AA85=0,BI85=3),P85,0),2)</f>
        <v>0</v>
      </c>
      <c r="FS85">
        <v>0</v>
      </c>
      <c r="FU85" t="s">
        <v>25</v>
      </c>
      <c r="FV85" t="s">
        <v>26</v>
      </c>
      <c r="FW85" t="s">
        <v>27</v>
      </c>
      <c r="FX85">
        <v>142</v>
      </c>
      <c r="FY85">
        <v>80.75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</row>
    <row r="86" spans="1:193" ht="12.75">
      <c r="A86">
        <v>17</v>
      </c>
      <c r="B86">
        <v>1</v>
      </c>
      <c r="C86">
        <f>ROW(SmtRes!A71)</f>
        <v>71</v>
      </c>
      <c r="D86">
        <f>ROW(EtalonRes!A69)</f>
        <v>69</v>
      </c>
      <c r="E86" t="s">
        <v>118</v>
      </c>
      <c r="F86" t="s">
        <v>119</v>
      </c>
      <c r="G86" t="s">
        <v>120</v>
      </c>
      <c r="H86" t="s">
        <v>115</v>
      </c>
      <c r="I86">
        <v>0.11</v>
      </c>
      <c r="J86">
        <v>0</v>
      </c>
      <c r="O86">
        <f>ROUND(CP86,2)</f>
        <v>6765.54</v>
      </c>
      <c r="P86">
        <f>ROUND(CQ86*I86,2)</f>
        <v>6759.35</v>
      </c>
      <c r="Q86">
        <f>ROUND(CR86*I86,2)</f>
        <v>2.78</v>
      </c>
      <c r="R86">
        <f>ROUND(CS86*I86,2)</f>
        <v>0</v>
      </c>
      <c r="S86">
        <f>ROUND(CT86*I86,2)</f>
        <v>3.41</v>
      </c>
      <c r="T86">
        <f>ROUND(CU86*I86,2)</f>
        <v>0</v>
      </c>
      <c r="U86">
        <f>CV86*I86</f>
        <v>0.019799999999999998</v>
      </c>
      <c r="V86">
        <f>CW86*I86</f>
        <v>0</v>
      </c>
      <c r="W86">
        <f>ROUND(CX86*I86,2)</f>
        <v>0</v>
      </c>
      <c r="X86">
        <f t="shared" si="54"/>
        <v>4.13</v>
      </c>
      <c r="Y86">
        <f t="shared" si="54"/>
        <v>2.22</v>
      </c>
      <c r="AA86">
        <v>0</v>
      </c>
      <c r="AB86">
        <f>(AC86+AD86+AF86)</f>
        <v>12971.78</v>
      </c>
      <c r="AC86">
        <f>((ES86*2))</f>
        <v>12963.84</v>
      </c>
      <c r="AD86">
        <f>((ET86*2))</f>
        <v>6.2</v>
      </c>
      <c r="AE86">
        <f>((EU86*2))</f>
        <v>0</v>
      </c>
      <c r="AF86">
        <f>((EV86*2))</f>
        <v>1.74</v>
      </c>
      <c r="AG86">
        <f>(AP86)</f>
        <v>0</v>
      </c>
      <c r="AH86">
        <f>((EW86*2))</f>
        <v>0.18</v>
      </c>
      <c r="AI86">
        <f>((EX86*2))</f>
        <v>0</v>
      </c>
      <c r="AJ86">
        <f>(AS86)</f>
        <v>0</v>
      </c>
      <c r="AK86">
        <v>6485.89</v>
      </c>
      <c r="AL86">
        <v>6481.92</v>
      </c>
      <c r="AM86">
        <v>3.1</v>
      </c>
      <c r="AN86">
        <v>0</v>
      </c>
      <c r="AO86">
        <v>0.87</v>
      </c>
      <c r="AP86">
        <v>0</v>
      </c>
      <c r="AQ86">
        <v>0.09</v>
      </c>
      <c r="AR86">
        <v>0</v>
      </c>
      <c r="AS86">
        <v>0</v>
      </c>
      <c r="AT86">
        <v>121</v>
      </c>
      <c r="AU86">
        <v>65</v>
      </c>
      <c r="AV86">
        <v>1</v>
      </c>
      <c r="AW86">
        <v>1</v>
      </c>
      <c r="AX86">
        <v>1</v>
      </c>
      <c r="AY86">
        <v>1</v>
      </c>
      <c r="AZ86">
        <v>4.74</v>
      </c>
      <c r="BA86">
        <v>17.84</v>
      </c>
      <c r="BB86">
        <v>4.07</v>
      </c>
      <c r="BC86">
        <v>4.74</v>
      </c>
      <c r="BH86">
        <v>0</v>
      </c>
      <c r="BI86">
        <v>1</v>
      </c>
      <c r="BJ86" t="s">
        <v>121</v>
      </c>
      <c r="BM86">
        <v>27001</v>
      </c>
      <c r="BN86">
        <v>0</v>
      </c>
      <c r="BO86" t="s">
        <v>119</v>
      </c>
      <c r="BP86">
        <v>1</v>
      </c>
      <c r="BQ86">
        <v>2</v>
      </c>
      <c r="BR86">
        <v>0</v>
      </c>
      <c r="BS86">
        <v>17.84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142</v>
      </c>
      <c r="CA86">
        <v>95</v>
      </c>
      <c r="CF86">
        <v>0</v>
      </c>
      <c r="CG86">
        <v>0</v>
      </c>
      <c r="CM86">
        <v>0</v>
      </c>
      <c r="CO86">
        <v>0</v>
      </c>
      <c r="CP86">
        <f>(P86+Q86+S86)</f>
        <v>6765.54</v>
      </c>
      <c r="CQ86">
        <f>(AC86)*BC86</f>
        <v>61448.6016</v>
      </c>
      <c r="CR86">
        <f>(AD86)*BB86</f>
        <v>25.234</v>
      </c>
      <c r="CS86">
        <f>(AE86)*BS86</f>
        <v>0</v>
      </c>
      <c r="CT86">
        <f>(AF86)*BA86</f>
        <v>31.0416</v>
      </c>
      <c r="CU86">
        <f t="shared" si="55"/>
        <v>0</v>
      </c>
      <c r="CV86">
        <f t="shared" si="55"/>
        <v>0.18</v>
      </c>
      <c r="CW86">
        <f t="shared" si="55"/>
        <v>0</v>
      </c>
      <c r="CX86">
        <f t="shared" si="55"/>
        <v>0</v>
      </c>
      <c r="CY86">
        <f>((S86+R86)*(ROUND((FX86*IF(1,(IF(0,0.94,0.85)*IF(0,0.85,1)),1)),IF(1,0,2))/100))</f>
        <v>4.1261</v>
      </c>
      <c r="CZ86">
        <f>((S86+R86)*(ROUND((FY86*IF(1,0.8,1)),IF(1,0,2))/100))</f>
        <v>2.2165000000000004</v>
      </c>
      <c r="DD86" t="s">
        <v>122</v>
      </c>
      <c r="DE86" t="s">
        <v>122</v>
      </c>
      <c r="DF86" t="s">
        <v>122</v>
      </c>
      <c r="DG86" t="s">
        <v>122</v>
      </c>
      <c r="DI86" t="s">
        <v>122</v>
      </c>
      <c r="DJ86" t="s">
        <v>122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1005</v>
      </c>
      <c r="DV86" t="s">
        <v>115</v>
      </c>
      <c r="DW86" t="s">
        <v>117</v>
      </c>
      <c r="DX86">
        <v>1000</v>
      </c>
      <c r="EE86">
        <v>26532675</v>
      </c>
      <c r="EF86">
        <v>2</v>
      </c>
      <c r="EG86" t="s">
        <v>22</v>
      </c>
      <c r="EH86">
        <v>0</v>
      </c>
      <c r="EJ86">
        <v>1</v>
      </c>
      <c r="EK86">
        <v>27001</v>
      </c>
      <c r="EL86" t="s">
        <v>23</v>
      </c>
      <c r="EM86" t="s">
        <v>24</v>
      </c>
      <c r="EQ86">
        <v>0</v>
      </c>
      <c r="ER86">
        <v>6485.89</v>
      </c>
      <c r="ES86">
        <v>6481.92</v>
      </c>
      <c r="ET86">
        <v>3.1</v>
      </c>
      <c r="EU86">
        <v>0</v>
      </c>
      <c r="EV86">
        <v>0.87</v>
      </c>
      <c r="EW86">
        <v>0.09</v>
      </c>
      <c r="EX86">
        <v>0</v>
      </c>
      <c r="EY86">
        <v>0</v>
      </c>
      <c r="EZ86">
        <v>0</v>
      </c>
      <c r="FQ86">
        <v>0</v>
      </c>
      <c r="FR86">
        <f>ROUND(IF(AND(AA86=0,BI86=3),P86,0),2)</f>
        <v>0</v>
      </c>
      <c r="FS86">
        <v>0</v>
      </c>
      <c r="FU86" t="s">
        <v>25</v>
      </c>
      <c r="FV86" t="s">
        <v>26</v>
      </c>
      <c r="FW86" t="s">
        <v>27</v>
      </c>
      <c r="FX86">
        <v>142</v>
      </c>
      <c r="FY86">
        <v>80.75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</row>
    <row r="88" spans="1:43" ht="12.75">
      <c r="A88" s="2">
        <v>51</v>
      </c>
      <c r="B88" s="2">
        <f>B79</f>
        <v>1</v>
      </c>
      <c r="C88" s="2">
        <f>A79</f>
        <v>4</v>
      </c>
      <c r="D88" s="2">
        <f>ROW(A79)</f>
        <v>79</v>
      </c>
      <c r="E88" s="2"/>
      <c r="F88" s="2" t="str">
        <f>IF(F79&lt;&gt;"",F79,"")</f>
        <v>Новый раздел</v>
      </c>
      <c r="G88" s="2" t="str">
        <f>IF(G79&lt;&gt;"",G79,"")</f>
        <v>Ремонт парковочного кармана</v>
      </c>
      <c r="H88" s="2"/>
      <c r="I88" s="2"/>
      <c r="J88" s="2"/>
      <c r="K88" s="2"/>
      <c r="L88" s="2"/>
      <c r="M88" s="2"/>
      <c r="N88" s="2"/>
      <c r="O88" s="2">
        <f aca="true" t="shared" si="57" ref="O88:Y88">ROUND(AB88,2)</f>
        <v>61748.63</v>
      </c>
      <c r="P88" s="2">
        <f t="shared" si="57"/>
        <v>55817.3</v>
      </c>
      <c r="Q88" s="2">
        <f t="shared" si="57"/>
        <v>4628.81</v>
      </c>
      <c r="R88" s="2">
        <f t="shared" si="57"/>
        <v>1342.3</v>
      </c>
      <c r="S88" s="2">
        <f t="shared" si="57"/>
        <v>1302.52</v>
      </c>
      <c r="T88" s="2">
        <f t="shared" si="57"/>
        <v>0</v>
      </c>
      <c r="U88" s="2">
        <f t="shared" si="57"/>
        <v>8.22</v>
      </c>
      <c r="V88" s="2">
        <f t="shared" si="57"/>
        <v>5.5</v>
      </c>
      <c r="W88" s="2">
        <f t="shared" si="57"/>
        <v>0</v>
      </c>
      <c r="X88" s="2">
        <f t="shared" si="57"/>
        <v>3200.23</v>
      </c>
      <c r="Y88" s="2">
        <f t="shared" si="57"/>
        <v>1719.14</v>
      </c>
      <c r="Z88" s="2"/>
      <c r="AA88" s="2"/>
      <c r="AB88" s="2">
        <f>ROUND(SUMIF(AA83:AA86,"=0",O83:O86),2)</f>
        <v>61748.63</v>
      </c>
      <c r="AC88" s="2">
        <f>ROUND(SUMIF(AA83:AA86,"=0",P83:P86),2)</f>
        <v>55817.3</v>
      </c>
      <c r="AD88" s="2">
        <f>ROUND(SUMIF(AA83:AA86,"=0",Q83:Q86),2)</f>
        <v>4628.81</v>
      </c>
      <c r="AE88" s="2">
        <f>ROUND(SUMIF(AA83:AA86,"=0",R83:R86),2)</f>
        <v>1342.3</v>
      </c>
      <c r="AF88" s="2">
        <f>ROUND(SUMIF(AA83:AA86,"=0",S83:S86),2)</f>
        <v>1302.52</v>
      </c>
      <c r="AG88" s="2">
        <f>ROUND(SUMIF(AA83:AA86,"=0",T83:T86),2)</f>
        <v>0</v>
      </c>
      <c r="AH88" s="2">
        <f>ROUND(SUMIF(AA83:AA86,"=0",U83:U86),2)</f>
        <v>8.22</v>
      </c>
      <c r="AI88" s="2">
        <f>ROUND(SUMIF(AA83:AA86,"=0",V83:V86),2)</f>
        <v>5.5</v>
      </c>
      <c r="AJ88" s="2">
        <f>ROUND(SUMIF(AA83:AA86,"=0",W83:W86),2)</f>
        <v>0</v>
      </c>
      <c r="AK88" s="2">
        <f>ROUND(SUMIF(AA83:AA86,"=0",X83:X86),2)</f>
        <v>3200.23</v>
      </c>
      <c r="AL88" s="2">
        <f>ROUND(SUMIF(AA83:AA86,"=0",Y83:Y86),2)</f>
        <v>1719.14</v>
      </c>
      <c r="AM88" s="2"/>
      <c r="AN88" s="2">
        <f>ROUND(AO88,2)</f>
        <v>0</v>
      </c>
      <c r="AO88" s="2">
        <f>ROUND(SUMIF(AA83:AA86,"=0",FQ83:FQ86),2)</f>
        <v>0</v>
      </c>
      <c r="AP88" s="2">
        <f>ROUND(AQ88,2)</f>
        <v>0</v>
      </c>
      <c r="AQ88" s="2">
        <f>ROUND(SUM(FR83:FR86),2)</f>
        <v>0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201</v>
      </c>
      <c r="F90" s="3">
        <f>Source!O88</f>
        <v>61748.63</v>
      </c>
      <c r="G90" s="3" t="s">
        <v>49</v>
      </c>
      <c r="H90" s="3" t="s">
        <v>50</v>
      </c>
      <c r="I90" s="3"/>
      <c r="J90" s="3"/>
      <c r="K90" s="3">
        <v>201</v>
      </c>
      <c r="L90" s="3">
        <v>1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202</v>
      </c>
      <c r="F91" s="3">
        <f>Source!P88</f>
        <v>55817.3</v>
      </c>
      <c r="G91" s="3" t="s">
        <v>51</v>
      </c>
      <c r="H91" s="3" t="s">
        <v>52</v>
      </c>
      <c r="I91" s="3"/>
      <c r="J91" s="3"/>
      <c r="K91" s="3">
        <v>202</v>
      </c>
      <c r="L91" s="3">
        <v>2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222</v>
      </c>
      <c r="F92" s="3">
        <f>Source!AN88</f>
        <v>0</v>
      </c>
      <c r="G92" s="3" t="s">
        <v>53</v>
      </c>
      <c r="H92" s="3" t="s">
        <v>54</v>
      </c>
      <c r="I92" s="3"/>
      <c r="J92" s="3"/>
      <c r="K92" s="3">
        <v>222</v>
      </c>
      <c r="L92" s="3">
        <v>3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216</v>
      </c>
      <c r="F93" s="3">
        <f>Source!AP88</f>
        <v>0</v>
      </c>
      <c r="G93" s="3" t="s">
        <v>55</v>
      </c>
      <c r="H93" s="3" t="s">
        <v>56</v>
      </c>
      <c r="I93" s="3"/>
      <c r="J93" s="3"/>
      <c r="K93" s="3">
        <v>216</v>
      </c>
      <c r="L93" s="3">
        <v>4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203</v>
      </c>
      <c r="F94" s="3">
        <f>Source!Q88</f>
        <v>4628.81</v>
      </c>
      <c r="G94" s="3" t="s">
        <v>57</v>
      </c>
      <c r="H94" s="3" t="s">
        <v>58</v>
      </c>
      <c r="I94" s="3"/>
      <c r="J94" s="3"/>
      <c r="K94" s="3">
        <v>203</v>
      </c>
      <c r="L94" s="3">
        <v>5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204</v>
      </c>
      <c r="F95" s="3">
        <f>Source!R88</f>
        <v>1342.3</v>
      </c>
      <c r="G95" s="3" t="s">
        <v>59</v>
      </c>
      <c r="H95" s="3" t="s">
        <v>60</v>
      </c>
      <c r="I95" s="3"/>
      <c r="J95" s="3"/>
      <c r="K95" s="3">
        <v>204</v>
      </c>
      <c r="L95" s="3">
        <v>6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205</v>
      </c>
      <c r="F96" s="3">
        <f>Source!S88</f>
        <v>1302.52</v>
      </c>
      <c r="G96" s="3" t="s">
        <v>61</v>
      </c>
      <c r="H96" s="3" t="s">
        <v>62</v>
      </c>
      <c r="I96" s="3"/>
      <c r="J96" s="3"/>
      <c r="K96" s="3">
        <v>205</v>
      </c>
      <c r="L96" s="3">
        <v>7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206</v>
      </c>
      <c r="F97" s="3">
        <f>Source!T88</f>
        <v>0</v>
      </c>
      <c r="G97" s="3" t="s">
        <v>63</v>
      </c>
      <c r="H97" s="3" t="s">
        <v>64</v>
      </c>
      <c r="I97" s="3"/>
      <c r="J97" s="3"/>
      <c r="K97" s="3">
        <v>206</v>
      </c>
      <c r="L97" s="3">
        <v>8</v>
      </c>
      <c r="M97" s="3">
        <v>3</v>
      </c>
      <c r="N97" s="3" t="s">
        <v>3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207</v>
      </c>
      <c r="F98" s="3">
        <f>Source!U88</f>
        <v>8.22</v>
      </c>
      <c r="G98" s="3" t="s">
        <v>65</v>
      </c>
      <c r="H98" s="3" t="s">
        <v>66</v>
      </c>
      <c r="I98" s="3"/>
      <c r="J98" s="3"/>
      <c r="K98" s="3">
        <v>207</v>
      </c>
      <c r="L98" s="3">
        <v>9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208</v>
      </c>
      <c r="F99" s="3">
        <f>Source!V88</f>
        <v>5.5</v>
      </c>
      <c r="G99" s="3" t="s">
        <v>67</v>
      </c>
      <c r="H99" s="3" t="s">
        <v>68</v>
      </c>
      <c r="I99" s="3"/>
      <c r="J99" s="3"/>
      <c r="K99" s="3">
        <v>208</v>
      </c>
      <c r="L99" s="3">
        <v>10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209</v>
      </c>
      <c r="F100" s="3">
        <f>Source!W88</f>
        <v>0</v>
      </c>
      <c r="G100" s="3" t="s">
        <v>69</v>
      </c>
      <c r="H100" s="3" t="s">
        <v>70</v>
      </c>
      <c r="I100" s="3"/>
      <c r="J100" s="3"/>
      <c r="K100" s="3">
        <v>209</v>
      </c>
      <c r="L100" s="3">
        <v>11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210</v>
      </c>
      <c r="F101" s="3">
        <f>Source!X88</f>
        <v>3200.23</v>
      </c>
      <c r="G101" s="3" t="s">
        <v>71</v>
      </c>
      <c r="H101" s="3" t="s">
        <v>72</v>
      </c>
      <c r="I101" s="3"/>
      <c r="J101" s="3"/>
      <c r="K101" s="3">
        <v>210</v>
      </c>
      <c r="L101" s="3">
        <v>12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211</v>
      </c>
      <c r="F102" s="3">
        <f>Source!Y88</f>
        <v>1719.14</v>
      </c>
      <c r="G102" s="3" t="s">
        <v>73</v>
      </c>
      <c r="H102" s="3" t="s">
        <v>74</v>
      </c>
      <c r="I102" s="3"/>
      <c r="J102" s="3"/>
      <c r="K102" s="3">
        <v>211</v>
      </c>
      <c r="L102" s="3">
        <v>13</v>
      </c>
      <c r="M102" s="3">
        <v>3</v>
      </c>
      <c r="N102" s="3" t="s">
        <v>3</v>
      </c>
    </row>
    <row r="103" ht="12.75">
      <c r="G103">
        <v>0</v>
      </c>
    </row>
    <row r="104" spans="1:67" ht="12.75">
      <c r="A104" s="1">
        <v>4</v>
      </c>
      <c r="B104" s="1">
        <v>1</v>
      </c>
      <c r="C104" s="1"/>
      <c r="D104" s="1">
        <f>ROW(A113)</f>
        <v>113</v>
      </c>
      <c r="E104" s="1"/>
      <c r="F104" s="1" t="s">
        <v>14</v>
      </c>
      <c r="G104" s="1" t="s">
        <v>447</v>
      </c>
      <c r="H104" s="1"/>
      <c r="I104" s="1"/>
      <c r="J104" s="1"/>
      <c r="K104" s="1"/>
      <c r="L104" s="1"/>
      <c r="M104" s="1"/>
      <c r="N104" s="1" t="s">
        <v>3</v>
      </c>
      <c r="O104" s="1"/>
      <c r="P104" s="1"/>
      <c r="Q104" s="1"/>
      <c r="R104" s="1" t="s">
        <v>3</v>
      </c>
      <c r="S104" s="1" t="s">
        <v>3</v>
      </c>
      <c r="T104" s="1" t="s">
        <v>3</v>
      </c>
      <c r="U104" s="1" t="s">
        <v>3</v>
      </c>
      <c r="V104" s="1"/>
      <c r="W104" s="1"/>
      <c r="X104" s="1">
        <v>0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>
        <v>0</v>
      </c>
      <c r="AM104" s="1"/>
      <c r="AN104" s="1"/>
      <c r="AO104" s="1" t="s">
        <v>3</v>
      </c>
      <c r="AP104" s="1" t="s">
        <v>3</v>
      </c>
      <c r="AQ104" s="1" t="s">
        <v>3</v>
      </c>
      <c r="AR104" s="1"/>
      <c r="AS104" s="1"/>
      <c r="AT104" s="1" t="s">
        <v>3</v>
      </c>
      <c r="AU104" s="1" t="s">
        <v>3</v>
      </c>
      <c r="AV104" s="1" t="s">
        <v>3</v>
      </c>
      <c r="AW104" s="1" t="s">
        <v>3</v>
      </c>
      <c r="AX104" s="1" t="s">
        <v>3</v>
      </c>
      <c r="AY104" s="1" t="s">
        <v>3</v>
      </c>
      <c r="AZ104" s="1" t="s">
        <v>3</v>
      </c>
      <c r="BA104" s="1" t="s">
        <v>3</v>
      </c>
      <c r="BB104" s="1" t="s">
        <v>3</v>
      </c>
      <c r="BC104" s="1" t="s">
        <v>3</v>
      </c>
      <c r="BD104" s="1" t="s">
        <v>3</v>
      </c>
      <c r="BE104" s="1" t="s">
        <v>123</v>
      </c>
      <c r="BF104" s="1">
        <v>0</v>
      </c>
      <c r="BG104" s="1">
        <v>0</v>
      </c>
      <c r="BH104" s="1" t="s">
        <v>3</v>
      </c>
      <c r="BI104" s="1" t="s">
        <v>3</v>
      </c>
      <c r="BJ104" s="1" t="s">
        <v>3</v>
      </c>
      <c r="BK104" s="1" t="s">
        <v>3</v>
      </c>
      <c r="BL104" s="1" t="s">
        <v>3</v>
      </c>
      <c r="BM104" s="1">
        <v>0</v>
      </c>
      <c r="BN104" s="1" t="s">
        <v>3</v>
      </c>
      <c r="BO104" s="1">
        <v>0</v>
      </c>
    </row>
    <row r="106" spans="1:43" ht="12.75">
      <c r="A106" s="2">
        <v>52</v>
      </c>
      <c r="B106" s="2">
        <f aca="true" t="shared" si="58" ref="B106:AQ106">B113</f>
        <v>1</v>
      </c>
      <c r="C106" s="2">
        <f t="shared" si="58"/>
        <v>4</v>
      </c>
      <c r="D106" s="2">
        <f t="shared" si="58"/>
        <v>104</v>
      </c>
      <c r="E106" s="2">
        <f t="shared" si="58"/>
        <v>0</v>
      </c>
      <c r="F106" s="2" t="str">
        <f t="shared" si="58"/>
        <v>Новый раздел</v>
      </c>
      <c r="G106" s="2" t="str">
        <f t="shared" si="58"/>
        <v>Ремонт внутриквартальной дороги</v>
      </c>
      <c r="H106" s="2">
        <f t="shared" si="58"/>
        <v>0</v>
      </c>
      <c r="I106" s="2">
        <f t="shared" si="58"/>
        <v>0</v>
      </c>
      <c r="J106" s="2">
        <f t="shared" si="58"/>
        <v>0</v>
      </c>
      <c r="K106" s="2">
        <f t="shared" si="58"/>
        <v>0</v>
      </c>
      <c r="L106" s="2">
        <f t="shared" si="58"/>
        <v>0</v>
      </c>
      <c r="M106" s="2">
        <f t="shared" si="58"/>
        <v>0</v>
      </c>
      <c r="N106" s="2">
        <f t="shared" si="58"/>
        <v>0</v>
      </c>
      <c r="O106" s="2">
        <f t="shared" si="58"/>
        <v>286289.13</v>
      </c>
      <c r="P106" s="2">
        <f t="shared" si="58"/>
        <v>258789.32</v>
      </c>
      <c r="Q106" s="2">
        <f t="shared" si="58"/>
        <v>21460.83</v>
      </c>
      <c r="R106" s="2">
        <f t="shared" si="58"/>
        <v>6223.39</v>
      </c>
      <c r="S106" s="2">
        <f t="shared" si="58"/>
        <v>6038.98</v>
      </c>
      <c r="T106" s="2">
        <f t="shared" si="58"/>
        <v>0</v>
      </c>
      <c r="U106" s="2">
        <f t="shared" si="58"/>
        <v>38.13</v>
      </c>
      <c r="V106" s="2">
        <f t="shared" si="58"/>
        <v>25.49</v>
      </c>
      <c r="W106" s="2">
        <f t="shared" si="58"/>
        <v>0</v>
      </c>
      <c r="X106" s="2">
        <f t="shared" si="58"/>
        <v>14837.46</v>
      </c>
      <c r="Y106" s="2">
        <f t="shared" si="58"/>
        <v>7970.54</v>
      </c>
      <c r="Z106" s="2">
        <f t="shared" si="58"/>
        <v>0</v>
      </c>
      <c r="AA106" s="2">
        <f t="shared" si="58"/>
        <v>0</v>
      </c>
      <c r="AB106" s="2">
        <f t="shared" si="58"/>
        <v>286289.13</v>
      </c>
      <c r="AC106" s="2">
        <f t="shared" si="58"/>
        <v>258789.32</v>
      </c>
      <c r="AD106" s="2">
        <f t="shared" si="58"/>
        <v>21460.83</v>
      </c>
      <c r="AE106" s="2">
        <f t="shared" si="58"/>
        <v>6223.39</v>
      </c>
      <c r="AF106" s="2">
        <f t="shared" si="58"/>
        <v>6038.98</v>
      </c>
      <c r="AG106" s="2">
        <f t="shared" si="58"/>
        <v>0</v>
      </c>
      <c r="AH106" s="2">
        <f t="shared" si="58"/>
        <v>38.13</v>
      </c>
      <c r="AI106" s="2">
        <f t="shared" si="58"/>
        <v>25.49</v>
      </c>
      <c r="AJ106" s="2">
        <f t="shared" si="58"/>
        <v>0</v>
      </c>
      <c r="AK106" s="2">
        <f t="shared" si="58"/>
        <v>14837.46</v>
      </c>
      <c r="AL106" s="2">
        <f t="shared" si="58"/>
        <v>7970.54</v>
      </c>
      <c r="AM106" s="2">
        <f t="shared" si="58"/>
        <v>0</v>
      </c>
      <c r="AN106" s="2">
        <f t="shared" si="58"/>
        <v>0</v>
      </c>
      <c r="AO106" s="2">
        <f t="shared" si="58"/>
        <v>0</v>
      </c>
      <c r="AP106" s="2">
        <f t="shared" si="58"/>
        <v>0</v>
      </c>
      <c r="AQ106" s="2">
        <f t="shared" si="58"/>
        <v>0</v>
      </c>
    </row>
    <row r="108" spans="1:193" ht="12.75">
      <c r="A108">
        <v>17</v>
      </c>
      <c r="B108">
        <v>1</v>
      </c>
      <c r="C108">
        <f>ROW(SmtRes!A80)</f>
        <v>80</v>
      </c>
      <c r="D108">
        <f>ROW(EtalonRes!A78)</f>
        <v>78</v>
      </c>
      <c r="E108" t="s">
        <v>124</v>
      </c>
      <c r="F108" t="s">
        <v>102</v>
      </c>
      <c r="G108" t="s">
        <v>103</v>
      </c>
      <c r="H108" t="s">
        <v>93</v>
      </c>
      <c r="I108">
        <v>0.765</v>
      </c>
      <c r="J108">
        <v>0</v>
      </c>
      <c r="O108">
        <f>ROUND(CP108,2)</f>
        <v>18183.81</v>
      </c>
      <c r="P108">
        <f>ROUND(CQ108*I108,2)</f>
        <v>64.68</v>
      </c>
      <c r="Q108">
        <f>ROUND(CR108*I108,2)</f>
        <v>15448.29</v>
      </c>
      <c r="R108">
        <f>ROUND(CS108*I108,2)</f>
        <v>3834.7</v>
      </c>
      <c r="S108">
        <f>ROUND(CT108*I108,2)</f>
        <v>2670.84</v>
      </c>
      <c r="T108">
        <f>ROUND(CU108*I108,2)</f>
        <v>0</v>
      </c>
      <c r="U108">
        <f>CV108*I108</f>
        <v>18.50535</v>
      </c>
      <c r="V108">
        <f>CW108*I108</f>
        <v>15.759000000000002</v>
      </c>
      <c r="W108">
        <f>ROUND(CX108*I108,2)</f>
        <v>0</v>
      </c>
      <c r="X108">
        <f aca="true" t="shared" si="59" ref="X108:Y111">ROUND(CY108,2)</f>
        <v>7871.7</v>
      </c>
      <c r="Y108">
        <f t="shared" si="59"/>
        <v>4228.6</v>
      </c>
      <c r="AA108">
        <v>0</v>
      </c>
      <c r="AB108">
        <f>(AC108+AD108+AF108)</f>
        <v>3578.4199999999996</v>
      </c>
      <c r="AC108">
        <f>(ES108)</f>
        <v>17.08</v>
      </c>
      <c r="AD108">
        <f>(ET108)</f>
        <v>3365.64</v>
      </c>
      <c r="AE108">
        <f>(EU108)</f>
        <v>280.98</v>
      </c>
      <c r="AF108">
        <f>(EV108)</f>
        <v>195.7</v>
      </c>
      <c r="AG108">
        <f>(AP108)</f>
        <v>0</v>
      </c>
      <c r="AH108">
        <f>(EW108)</f>
        <v>24.19</v>
      </c>
      <c r="AI108">
        <f>(EX108)</f>
        <v>20.6</v>
      </c>
      <c r="AJ108">
        <f>(AS108)</f>
        <v>0</v>
      </c>
      <c r="AK108">
        <v>3578.4199999999996</v>
      </c>
      <c r="AL108">
        <v>17.08</v>
      </c>
      <c r="AM108">
        <v>3365.64</v>
      </c>
      <c r="AN108">
        <v>280.98</v>
      </c>
      <c r="AO108">
        <v>195.7</v>
      </c>
      <c r="AP108">
        <v>0</v>
      </c>
      <c r="AQ108">
        <v>24.19</v>
      </c>
      <c r="AR108">
        <v>20.6</v>
      </c>
      <c r="AS108">
        <v>0</v>
      </c>
      <c r="AT108">
        <v>121</v>
      </c>
      <c r="AU108">
        <v>65</v>
      </c>
      <c r="AV108">
        <v>1</v>
      </c>
      <c r="AW108">
        <v>1</v>
      </c>
      <c r="AX108">
        <v>1</v>
      </c>
      <c r="AY108">
        <v>1</v>
      </c>
      <c r="AZ108">
        <v>8.6</v>
      </c>
      <c r="BA108">
        <v>17.84</v>
      </c>
      <c r="BB108">
        <v>6</v>
      </c>
      <c r="BC108">
        <v>4.95</v>
      </c>
      <c r="BH108">
        <v>0</v>
      </c>
      <c r="BI108">
        <v>1</v>
      </c>
      <c r="BJ108" t="s">
        <v>104</v>
      </c>
      <c r="BM108">
        <v>27001</v>
      </c>
      <c r="BN108">
        <v>0</v>
      </c>
      <c r="BO108" t="s">
        <v>102</v>
      </c>
      <c r="BP108">
        <v>1</v>
      </c>
      <c r="BQ108">
        <v>2</v>
      </c>
      <c r="BR108">
        <v>0</v>
      </c>
      <c r="BS108">
        <v>17.84</v>
      </c>
      <c r="BT108">
        <v>1</v>
      </c>
      <c r="BU108">
        <v>1</v>
      </c>
      <c r="BV108">
        <v>1</v>
      </c>
      <c r="BW108">
        <v>1</v>
      </c>
      <c r="BX108">
        <v>1</v>
      </c>
      <c r="BZ108">
        <v>142</v>
      </c>
      <c r="CA108">
        <v>95</v>
      </c>
      <c r="CF108">
        <v>0</v>
      </c>
      <c r="CG108">
        <v>0</v>
      </c>
      <c r="CM108">
        <v>0</v>
      </c>
      <c r="CO108">
        <v>0</v>
      </c>
      <c r="CP108">
        <f>(P108+Q108+S108)</f>
        <v>18183.81</v>
      </c>
      <c r="CQ108">
        <f>(AC108)*BC108</f>
        <v>84.54599999999999</v>
      </c>
      <c r="CR108">
        <f>(AD108)*BB108</f>
        <v>20193.84</v>
      </c>
      <c r="CS108">
        <f>(AE108)*BS108</f>
        <v>5012.6832</v>
      </c>
      <c r="CT108">
        <f>(AF108)*BA108</f>
        <v>3491.2879999999996</v>
      </c>
      <c r="CU108">
        <f aca="true" t="shared" si="60" ref="CU108:CX111">(AG108)*BT108</f>
        <v>0</v>
      </c>
      <c r="CV108">
        <f t="shared" si="60"/>
        <v>24.19</v>
      </c>
      <c r="CW108">
        <f t="shared" si="60"/>
        <v>20.6</v>
      </c>
      <c r="CX108">
        <f t="shared" si="60"/>
        <v>0</v>
      </c>
      <c r="CY108">
        <f>((S108+R108)*(ROUND((FX108*IF(1,(IF(0,0.94,0.85)*IF(0,0.85,1)),1)),IF(1,0,2))/100))</f>
        <v>7871.703399999999</v>
      </c>
      <c r="CZ108">
        <f>((S108+R108)*(ROUND((FY108*IF(1,0.8,1)),IF(1,0,2))/100))</f>
        <v>4228.601000000001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1007</v>
      </c>
      <c r="DV108" t="s">
        <v>93</v>
      </c>
      <c r="DW108" t="s">
        <v>95</v>
      </c>
      <c r="DX108">
        <v>100</v>
      </c>
      <c r="EE108">
        <v>26532675</v>
      </c>
      <c r="EF108">
        <v>2</v>
      </c>
      <c r="EG108" t="s">
        <v>22</v>
      </c>
      <c r="EH108">
        <v>0</v>
      </c>
      <c r="EJ108">
        <v>1</v>
      </c>
      <c r="EK108">
        <v>27001</v>
      </c>
      <c r="EL108" t="s">
        <v>23</v>
      </c>
      <c r="EM108" t="s">
        <v>24</v>
      </c>
      <c r="EQ108">
        <v>0</v>
      </c>
      <c r="ER108">
        <v>3578.42</v>
      </c>
      <c r="ES108">
        <v>17.08</v>
      </c>
      <c r="ET108">
        <v>3365.64</v>
      </c>
      <c r="EU108">
        <v>280.98</v>
      </c>
      <c r="EV108">
        <v>195.7</v>
      </c>
      <c r="EW108">
        <v>24.19</v>
      </c>
      <c r="EX108">
        <v>20.6</v>
      </c>
      <c r="EY108">
        <v>0</v>
      </c>
      <c r="EZ108">
        <v>0</v>
      </c>
      <c r="FQ108">
        <v>0</v>
      </c>
      <c r="FR108">
        <f>ROUND(IF(AND(AA108=0,BI108=3),P108,0),2)</f>
        <v>0</v>
      </c>
      <c r="FS108">
        <v>0</v>
      </c>
      <c r="FU108" t="s">
        <v>25</v>
      </c>
      <c r="FV108" t="s">
        <v>26</v>
      </c>
      <c r="FW108" t="s">
        <v>27</v>
      </c>
      <c r="FX108">
        <v>142</v>
      </c>
      <c r="FY108">
        <v>80.75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</row>
    <row r="109" spans="1:193" ht="12.75">
      <c r="A109">
        <v>18</v>
      </c>
      <c r="B109">
        <v>1</v>
      </c>
      <c r="C109">
        <v>79</v>
      </c>
      <c r="E109" t="s">
        <v>125</v>
      </c>
      <c r="F109" t="s">
        <v>106</v>
      </c>
      <c r="G109" t="s">
        <v>107</v>
      </c>
      <c r="H109" t="s">
        <v>99</v>
      </c>
      <c r="I109">
        <f>I108*J109</f>
        <v>95.625</v>
      </c>
      <c r="J109">
        <v>125</v>
      </c>
      <c r="O109">
        <f>ROUND(CP109,2)</f>
        <v>101734.86</v>
      </c>
      <c r="P109">
        <f>ROUND(CQ109*I109,2)</f>
        <v>101734.86</v>
      </c>
      <c r="Q109">
        <f>ROUND(CR109*I109,2)</f>
        <v>0</v>
      </c>
      <c r="R109">
        <f>ROUND(CS109*I109,2)</f>
        <v>0</v>
      </c>
      <c r="S109">
        <f>ROUND(CT109*I109,2)</f>
        <v>0</v>
      </c>
      <c r="T109">
        <f>ROUND(CU109*I109,2)</f>
        <v>0</v>
      </c>
      <c r="U109">
        <f>CV109*I109</f>
        <v>0</v>
      </c>
      <c r="V109">
        <f>CW109*I109</f>
        <v>0</v>
      </c>
      <c r="W109">
        <f>ROUND(CX109*I109,2)</f>
        <v>0</v>
      </c>
      <c r="X109">
        <f t="shared" si="59"/>
        <v>0</v>
      </c>
      <c r="Y109">
        <f t="shared" si="59"/>
        <v>0</v>
      </c>
      <c r="AA109">
        <v>0</v>
      </c>
      <c r="AB109">
        <f>(AC109+AD109+AF109)</f>
        <v>98.6</v>
      </c>
      <c r="AC109">
        <f aca="true" t="shared" si="61" ref="AC109:AJ109">AL109</f>
        <v>98.6</v>
      </c>
      <c r="AD109">
        <f t="shared" si="61"/>
        <v>0</v>
      </c>
      <c r="AE109">
        <f t="shared" si="61"/>
        <v>0</v>
      </c>
      <c r="AF109">
        <f t="shared" si="61"/>
        <v>0</v>
      </c>
      <c r="AG109">
        <f t="shared" si="61"/>
        <v>0</v>
      </c>
      <c r="AH109">
        <f t="shared" si="61"/>
        <v>0</v>
      </c>
      <c r="AI109">
        <f t="shared" si="61"/>
        <v>0</v>
      </c>
      <c r="AJ109">
        <f t="shared" si="61"/>
        <v>0</v>
      </c>
      <c r="AK109">
        <v>98.6</v>
      </c>
      <c r="AL109">
        <v>98.6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121</v>
      </c>
      <c r="AU109">
        <v>65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10.79</v>
      </c>
      <c r="BH109">
        <v>3</v>
      </c>
      <c r="BI109">
        <v>1</v>
      </c>
      <c r="BJ109" t="s">
        <v>108</v>
      </c>
      <c r="BM109">
        <v>27001</v>
      </c>
      <c r="BN109">
        <v>0</v>
      </c>
      <c r="BO109" t="s">
        <v>106</v>
      </c>
      <c r="BP109">
        <v>1</v>
      </c>
      <c r="BQ109">
        <v>2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Z109">
        <v>142</v>
      </c>
      <c r="CA109">
        <v>95</v>
      </c>
      <c r="CF109">
        <v>0</v>
      </c>
      <c r="CG109">
        <v>0</v>
      </c>
      <c r="CM109">
        <v>0</v>
      </c>
      <c r="CO109">
        <v>0</v>
      </c>
      <c r="CP109">
        <f>(P109+Q109+S109)</f>
        <v>101734.86</v>
      </c>
      <c r="CQ109">
        <f>(AC109)*BC109</f>
        <v>1063.8939999999998</v>
      </c>
      <c r="CR109">
        <f>(AD109)*BB109</f>
        <v>0</v>
      </c>
      <c r="CS109">
        <f>(AE109)*BS109</f>
        <v>0</v>
      </c>
      <c r="CT109">
        <f>(AF109)*BA109</f>
        <v>0</v>
      </c>
      <c r="CU109">
        <f t="shared" si="60"/>
        <v>0</v>
      </c>
      <c r="CV109">
        <f t="shared" si="60"/>
        <v>0</v>
      </c>
      <c r="CW109">
        <f t="shared" si="60"/>
        <v>0</v>
      </c>
      <c r="CX109">
        <f t="shared" si="60"/>
        <v>0</v>
      </c>
      <c r="CY109">
        <f>((S109+R109)*(ROUND((FX109*IF(1,(IF(0,0.94,0.85)*IF(0,0.85,1)),1)),IF(1,0,2))/100))</f>
        <v>0</v>
      </c>
      <c r="CZ109">
        <f>((S109+R109)*(ROUND((FY109*IF(1,0.8,1)),IF(1,0,2))/100))</f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1007</v>
      </c>
      <c r="DV109" t="s">
        <v>99</v>
      </c>
      <c r="DW109" t="s">
        <v>99</v>
      </c>
      <c r="DX109">
        <v>1</v>
      </c>
      <c r="EE109">
        <v>26532675</v>
      </c>
      <c r="EF109">
        <v>2</v>
      </c>
      <c r="EG109" t="s">
        <v>22</v>
      </c>
      <c r="EH109">
        <v>0</v>
      </c>
      <c r="EJ109">
        <v>1</v>
      </c>
      <c r="EK109">
        <v>27001</v>
      </c>
      <c r="EL109" t="s">
        <v>23</v>
      </c>
      <c r="EM109" t="s">
        <v>24</v>
      </c>
      <c r="EQ109">
        <v>0</v>
      </c>
      <c r="ER109">
        <v>98.6</v>
      </c>
      <c r="ES109">
        <v>98.6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0</v>
      </c>
      <c r="FQ109">
        <v>0</v>
      </c>
      <c r="FR109">
        <f>ROUND(IF(AND(AA109=0,BI109=3),P109,0),2)</f>
        <v>0</v>
      </c>
      <c r="FS109">
        <v>0</v>
      </c>
      <c r="FU109" t="s">
        <v>25</v>
      </c>
      <c r="FV109" t="s">
        <v>26</v>
      </c>
      <c r="FW109" t="s">
        <v>27</v>
      </c>
      <c r="FX109">
        <v>142</v>
      </c>
      <c r="FY109">
        <v>80.75</v>
      </c>
      <c r="GA109">
        <v>98.6</v>
      </c>
      <c r="GB109">
        <v>98.6</v>
      </c>
      <c r="GC109">
        <v>0</v>
      </c>
      <c r="GD109">
        <v>0</v>
      </c>
      <c r="GE109">
        <v>0</v>
      </c>
      <c r="GF109">
        <v>98.6</v>
      </c>
      <c r="GG109">
        <v>98.6</v>
      </c>
      <c r="GH109">
        <v>0</v>
      </c>
      <c r="GI109">
        <v>0</v>
      </c>
      <c r="GJ109">
        <v>0</v>
      </c>
      <c r="GK109">
        <v>0</v>
      </c>
    </row>
    <row r="110" spans="1:193" ht="12.75">
      <c r="A110">
        <v>17</v>
      </c>
      <c r="B110">
        <v>1</v>
      </c>
      <c r="C110">
        <f>ROW(SmtRes!A93)</f>
        <v>93</v>
      </c>
      <c r="D110">
        <f>ROW(EtalonRes!A91)</f>
        <v>91</v>
      </c>
      <c r="E110" t="s">
        <v>126</v>
      </c>
      <c r="F110" t="s">
        <v>113</v>
      </c>
      <c r="G110" t="s">
        <v>114</v>
      </c>
      <c r="H110" t="s">
        <v>115</v>
      </c>
      <c r="I110">
        <v>0.51</v>
      </c>
      <c r="J110">
        <v>0</v>
      </c>
      <c r="O110">
        <f>ROUND(CP110,2)</f>
        <v>135002.97</v>
      </c>
      <c r="P110">
        <f>ROUND(CQ110*I110,2)</f>
        <v>125650.99</v>
      </c>
      <c r="Q110">
        <f>ROUND(CR110*I110,2)</f>
        <v>5999.67</v>
      </c>
      <c r="R110">
        <f>ROUND(CS110*I110,2)</f>
        <v>2388.69</v>
      </c>
      <c r="S110">
        <f>ROUND(CT110*I110,2)</f>
        <v>3352.31</v>
      </c>
      <c r="T110">
        <f>ROUND(CU110*I110,2)</f>
        <v>0</v>
      </c>
      <c r="U110">
        <f>CV110*I110</f>
        <v>19.532999999999998</v>
      </c>
      <c r="V110">
        <f>CW110*I110</f>
        <v>9.730799999999999</v>
      </c>
      <c r="W110">
        <f>ROUND(CX110*I110,2)</f>
        <v>0</v>
      </c>
      <c r="X110">
        <f t="shared" si="59"/>
        <v>6946.61</v>
      </c>
      <c r="Y110">
        <f t="shared" si="59"/>
        <v>3731.65</v>
      </c>
      <c r="AA110">
        <v>0</v>
      </c>
      <c r="AB110">
        <f>(AC110+AD110+AF110)</f>
        <v>54732.409999999996</v>
      </c>
      <c r="AC110">
        <f>(ES110)</f>
        <v>51977.74</v>
      </c>
      <c r="AD110">
        <f>(ET110)</f>
        <v>2386.22</v>
      </c>
      <c r="AE110">
        <f>(EU110)</f>
        <v>262.54</v>
      </c>
      <c r="AF110">
        <f>(EV110)</f>
        <v>368.45</v>
      </c>
      <c r="AG110">
        <f>(AP110)</f>
        <v>0</v>
      </c>
      <c r="AH110">
        <f>(EW110)</f>
        <v>38.3</v>
      </c>
      <c r="AI110">
        <f>(EX110)</f>
        <v>19.08</v>
      </c>
      <c r="AJ110">
        <f>(AS110)</f>
        <v>0</v>
      </c>
      <c r="AK110">
        <v>54732.409999999996</v>
      </c>
      <c r="AL110">
        <v>51977.74</v>
      </c>
      <c r="AM110">
        <v>2386.22</v>
      </c>
      <c r="AN110">
        <v>262.54</v>
      </c>
      <c r="AO110">
        <v>368.45</v>
      </c>
      <c r="AP110">
        <v>0</v>
      </c>
      <c r="AQ110">
        <v>38.3</v>
      </c>
      <c r="AR110">
        <v>19.08</v>
      </c>
      <c r="AS110">
        <v>0</v>
      </c>
      <c r="AT110">
        <v>121</v>
      </c>
      <c r="AU110">
        <v>65</v>
      </c>
      <c r="AV110">
        <v>1</v>
      </c>
      <c r="AW110">
        <v>1</v>
      </c>
      <c r="AX110">
        <v>1</v>
      </c>
      <c r="AY110">
        <v>1</v>
      </c>
      <c r="AZ110">
        <v>5.1</v>
      </c>
      <c r="BA110">
        <v>17.84</v>
      </c>
      <c r="BB110">
        <v>4.93</v>
      </c>
      <c r="BC110">
        <v>4.74</v>
      </c>
      <c r="BH110">
        <v>0</v>
      </c>
      <c r="BI110">
        <v>1</v>
      </c>
      <c r="BJ110" t="s">
        <v>116</v>
      </c>
      <c r="BM110">
        <v>27001</v>
      </c>
      <c r="BN110">
        <v>0</v>
      </c>
      <c r="BO110" t="s">
        <v>113</v>
      </c>
      <c r="BP110">
        <v>1</v>
      </c>
      <c r="BQ110">
        <v>2</v>
      </c>
      <c r="BR110">
        <v>0</v>
      </c>
      <c r="BS110">
        <v>17.84</v>
      </c>
      <c r="BT110">
        <v>1</v>
      </c>
      <c r="BU110">
        <v>1</v>
      </c>
      <c r="BV110">
        <v>1</v>
      </c>
      <c r="BW110">
        <v>1</v>
      </c>
      <c r="BX110">
        <v>1</v>
      </c>
      <c r="BZ110">
        <v>142</v>
      </c>
      <c r="CA110">
        <v>95</v>
      </c>
      <c r="CF110">
        <v>0</v>
      </c>
      <c r="CG110">
        <v>0</v>
      </c>
      <c r="CM110">
        <v>0</v>
      </c>
      <c r="CO110">
        <v>0</v>
      </c>
      <c r="CP110">
        <f>(P110+Q110+S110)</f>
        <v>135002.97</v>
      </c>
      <c r="CQ110">
        <f>(AC110)*BC110</f>
        <v>246374.4876</v>
      </c>
      <c r="CR110">
        <f>(AD110)*BB110</f>
        <v>11764.064599999998</v>
      </c>
      <c r="CS110">
        <f>(AE110)*BS110</f>
        <v>4683.7136</v>
      </c>
      <c r="CT110">
        <f>(AF110)*BA110</f>
        <v>6573.148</v>
      </c>
      <c r="CU110">
        <f t="shared" si="60"/>
        <v>0</v>
      </c>
      <c r="CV110">
        <f t="shared" si="60"/>
        <v>38.3</v>
      </c>
      <c r="CW110">
        <f t="shared" si="60"/>
        <v>19.08</v>
      </c>
      <c r="CX110">
        <f t="shared" si="60"/>
        <v>0</v>
      </c>
      <c r="CY110">
        <f>((S110+R110)*(ROUND((FX110*IF(1,(IF(0,0.94,0.85)*IF(0,0.85,1)),1)),IF(1,0,2))/100))</f>
        <v>6946.61</v>
      </c>
      <c r="CZ110">
        <f>((S110+R110)*(ROUND((FY110*IF(1,0.8,1)),IF(1,0,2))/100))</f>
        <v>3731.65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1005</v>
      </c>
      <c r="DV110" t="s">
        <v>115</v>
      </c>
      <c r="DW110" t="s">
        <v>117</v>
      </c>
      <c r="DX110">
        <v>1000</v>
      </c>
      <c r="EE110">
        <v>26532675</v>
      </c>
      <c r="EF110">
        <v>2</v>
      </c>
      <c r="EG110" t="s">
        <v>22</v>
      </c>
      <c r="EH110">
        <v>0</v>
      </c>
      <c r="EJ110">
        <v>1</v>
      </c>
      <c r="EK110">
        <v>27001</v>
      </c>
      <c r="EL110" t="s">
        <v>23</v>
      </c>
      <c r="EM110" t="s">
        <v>24</v>
      </c>
      <c r="EQ110">
        <v>0</v>
      </c>
      <c r="ER110">
        <v>54732.41</v>
      </c>
      <c r="ES110">
        <v>51977.74</v>
      </c>
      <c r="ET110">
        <v>2386.22</v>
      </c>
      <c r="EU110">
        <v>262.54</v>
      </c>
      <c r="EV110">
        <v>368.45</v>
      </c>
      <c r="EW110">
        <v>38.3</v>
      </c>
      <c r="EX110">
        <v>19.08</v>
      </c>
      <c r="EY110">
        <v>0</v>
      </c>
      <c r="EZ110">
        <v>0</v>
      </c>
      <c r="FQ110">
        <v>0</v>
      </c>
      <c r="FR110">
        <f>ROUND(IF(AND(AA110=0,BI110=3),P110,0),2)</f>
        <v>0</v>
      </c>
      <c r="FS110">
        <v>0</v>
      </c>
      <c r="FU110" t="s">
        <v>25</v>
      </c>
      <c r="FV110" t="s">
        <v>26</v>
      </c>
      <c r="FW110" t="s">
        <v>27</v>
      </c>
      <c r="FX110">
        <v>142</v>
      </c>
      <c r="FY110">
        <v>80.75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</row>
    <row r="111" spans="1:193" ht="12.75">
      <c r="A111">
        <v>17</v>
      </c>
      <c r="B111">
        <v>1</v>
      </c>
      <c r="C111">
        <f>ROW(SmtRes!A98)</f>
        <v>98</v>
      </c>
      <c r="D111">
        <f>ROW(EtalonRes!A96)</f>
        <v>96</v>
      </c>
      <c r="E111" t="s">
        <v>127</v>
      </c>
      <c r="F111" t="s">
        <v>119</v>
      </c>
      <c r="G111" t="s">
        <v>120</v>
      </c>
      <c r="H111" t="s">
        <v>115</v>
      </c>
      <c r="I111">
        <v>0.51</v>
      </c>
      <c r="J111">
        <v>0</v>
      </c>
      <c r="O111">
        <f>ROUND(CP111,2)</f>
        <v>31367.49</v>
      </c>
      <c r="P111">
        <f>ROUND(CQ111*I111,2)</f>
        <v>31338.79</v>
      </c>
      <c r="Q111">
        <f>ROUND(CR111*I111,2)</f>
        <v>12.87</v>
      </c>
      <c r="R111">
        <f>ROUND(CS111*I111,2)</f>
        <v>0</v>
      </c>
      <c r="S111">
        <f>ROUND(CT111*I111,2)</f>
        <v>15.83</v>
      </c>
      <c r="T111">
        <f>ROUND(CU111*I111,2)</f>
        <v>0</v>
      </c>
      <c r="U111">
        <f>CV111*I111</f>
        <v>0.09179999999999999</v>
      </c>
      <c r="V111">
        <f>CW111*I111</f>
        <v>0</v>
      </c>
      <c r="W111">
        <f>ROUND(CX111*I111,2)</f>
        <v>0</v>
      </c>
      <c r="X111">
        <f t="shared" si="59"/>
        <v>19.15</v>
      </c>
      <c r="Y111">
        <f t="shared" si="59"/>
        <v>10.29</v>
      </c>
      <c r="AA111">
        <v>0</v>
      </c>
      <c r="AB111">
        <f>(AC111+AD111+AF111)</f>
        <v>12971.78</v>
      </c>
      <c r="AC111">
        <f>((ES111*2))</f>
        <v>12963.84</v>
      </c>
      <c r="AD111">
        <f>((ET111*2))</f>
        <v>6.2</v>
      </c>
      <c r="AE111">
        <f>((EU111*2))</f>
        <v>0</v>
      </c>
      <c r="AF111">
        <f>((EV111*2))</f>
        <v>1.74</v>
      </c>
      <c r="AG111">
        <f>(AP111)</f>
        <v>0</v>
      </c>
      <c r="AH111">
        <f>((EW111*2))</f>
        <v>0.18</v>
      </c>
      <c r="AI111">
        <f>((EX111*2))</f>
        <v>0</v>
      </c>
      <c r="AJ111">
        <f>(AS111)</f>
        <v>0</v>
      </c>
      <c r="AK111">
        <v>6485.89</v>
      </c>
      <c r="AL111">
        <v>6481.92</v>
      </c>
      <c r="AM111">
        <v>3.1</v>
      </c>
      <c r="AN111">
        <v>0</v>
      </c>
      <c r="AO111">
        <v>0.87</v>
      </c>
      <c r="AP111">
        <v>0</v>
      </c>
      <c r="AQ111">
        <v>0.09</v>
      </c>
      <c r="AR111">
        <v>0</v>
      </c>
      <c r="AS111">
        <v>0</v>
      </c>
      <c r="AT111">
        <v>121</v>
      </c>
      <c r="AU111">
        <v>65</v>
      </c>
      <c r="AV111">
        <v>1</v>
      </c>
      <c r="AW111">
        <v>1</v>
      </c>
      <c r="AX111">
        <v>1</v>
      </c>
      <c r="AY111">
        <v>1</v>
      </c>
      <c r="AZ111">
        <v>4.74</v>
      </c>
      <c r="BA111">
        <v>17.84</v>
      </c>
      <c r="BB111">
        <v>4.07</v>
      </c>
      <c r="BC111">
        <v>4.74</v>
      </c>
      <c r="BH111">
        <v>0</v>
      </c>
      <c r="BI111">
        <v>1</v>
      </c>
      <c r="BJ111" t="s">
        <v>121</v>
      </c>
      <c r="BM111">
        <v>27001</v>
      </c>
      <c r="BN111">
        <v>0</v>
      </c>
      <c r="BO111" t="s">
        <v>119</v>
      </c>
      <c r="BP111">
        <v>1</v>
      </c>
      <c r="BQ111">
        <v>2</v>
      </c>
      <c r="BR111">
        <v>0</v>
      </c>
      <c r="BS111">
        <v>17.84</v>
      </c>
      <c r="BT111">
        <v>1</v>
      </c>
      <c r="BU111">
        <v>1</v>
      </c>
      <c r="BV111">
        <v>1</v>
      </c>
      <c r="BW111">
        <v>1</v>
      </c>
      <c r="BX111">
        <v>1</v>
      </c>
      <c r="BZ111">
        <v>142</v>
      </c>
      <c r="CA111">
        <v>95</v>
      </c>
      <c r="CF111">
        <v>0</v>
      </c>
      <c r="CG111">
        <v>0</v>
      </c>
      <c r="CM111">
        <v>0</v>
      </c>
      <c r="CO111">
        <v>0</v>
      </c>
      <c r="CP111">
        <f>(P111+Q111+S111)</f>
        <v>31367.49</v>
      </c>
      <c r="CQ111">
        <f>(AC111)*BC111</f>
        <v>61448.6016</v>
      </c>
      <c r="CR111">
        <f>(AD111)*BB111</f>
        <v>25.234</v>
      </c>
      <c r="CS111">
        <f>(AE111)*BS111</f>
        <v>0</v>
      </c>
      <c r="CT111">
        <f>(AF111)*BA111</f>
        <v>31.0416</v>
      </c>
      <c r="CU111">
        <f t="shared" si="60"/>
        <v>0</v>
      </c>
      <c r="CV111">
        <f t="shared" si="60"/>
        <v>0.18</v>
      </c>
      <c r="CW111">
        <f t="shared" si="60"/>
        <v>0</v>
      </c>
      <c r="CX111">
        <f t="shared" si="60"/>
        <v>0</v>
      </c>
      <c r="CY111">
        <f>((S111+R111)*(ROUND((FX111*IF(1,(IF(0,0.94,0.85)*IF(0,0.85,1)),1)),IF(1,0,2))/100))</f>
        <v>19.1543</v>
      </c>
      <c r="CZ111">
        <f>((S111+R111)*(ROUND((FY111*IF(1,0.8,1)),IF(1,0,2))/100))</f>
        <v>10.2895</v>
      </c>
      <c r="DD111" t="s">
        <v>122</v>
      </c>
      <c r="DE111" t="s">
        <v>122</v>
      </c>
      <c r="DF111" t="s">
        <v>122</v>
      </c>
      <c r="DG111" t="s">
        <v>122</v>
      </c>
      <c r="DI111" t="s">
        <v>122</v>
      </c>
      <c r="DJ111" t="s">
        <v>122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1005</v>
      </c>
      <c r="DV111" t="s">
        <v>115</v>
      </c>
      <c r="DW111" t="s">
        <v>117</v>
      </c>
      <c r="DX111">
        <v>1000</v>
      </c>
      <c r="EE111">
        <v>26532675</v>
      </c>
      <c r="EF111">
        <v>2</v>
      </c>
      <c r="EG111" t="s">
        <v>22</v>
      </c>
      <c r="EH111">
        <v>0</v>
      </c>
      <c r="EJ111">
        <v>1</v>
      </c>
      <c r="EK111">
        <v>27001</v>
      </c>
      <c r="EL111" t="s">
        <v>23</v>
      </c>
      <c r="EM111" t="s">
        <v>24</v>
      </c>
      <c r="EQ111">
        <v>0</v>
      </c>
      <c r="ER111">
        <v>6485.89</v>
      </c>
      <c r="ES111">
        <v>6481.92</v>
      </c>
      <c r="ET111">
        <v>3.1</v>
      </c>
      <c r="EU111">
        <v>0</v>
      </c>
      <c r="EV111">
        <v>0.87</v>
      </c>
      <c r="EW111">
        <v>0.09</v>
      </c>
      <c r="EX111">
        <v>0</v>
      </c>
      <c r="EY111">
        <v>0</v>
      </c>
      <c r="EZ111">
        <v>0</v>
      </c>
      <c r="FQ111">
        <v>0</v>
      </c>
      <c r="FR111">
        <f>ROUND(IF(AND(AA111=0,BI111=3),P111,0),2)</f>
        <v>0</v>
      </c>
      <c r="FS111">
        <v>0</v>
      </c>
      <c r="FU111" t="s">
        <v>25</v>
      </c>
      <c r="FV111" t="s">
        <v>26</v>
      </c>
      <c r="FW111" t="s">
        <v>27</v>
      </c>
      <c r="FX111">
        <v>142</v>
      </c>
      <c r="FY111">
        <v>80.75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</row>
    <row r="113" spans="1:43" ht="12.75">
      <c r="A113" s="2">
        <v>51</v>
      </c>
      <c r="B113" s="2">
        <f>B104</f>
        <v>1</v>
      </c>
      <c r="C113" s="2">
        <f>A104</f>
        <v>4</v>
      </c>
      <c r="D113" s="2">
        <f>ROW(A104)</f>
        <v>104</v>
      </c>
      <c r="E113" s="2"/>
      <c r="F113" s="2" t="str">
        <f>IF(F104&lt;&gt;"",F104,"")</f>
        <v>Новый раздел</v>
      </c>
      <c r="G113" s="2" t="str">
        <f>IF(G104&lt;&gt;"",G104,"")</f>
        <v>Ремонт внутриквартальной дороги</v>
      </c>
      <c r="H113" s="2"/>
      <c r="I113" s="2"/>
      <c r="J113" s="2"/>
      <c r="K113" s="2"/>
      <c r="L113" s="2"/>
      <c r="M113" s="2"/>
      <c r="N113" s="2"/>
      <c r="O113" s="2">
        <f aca="true" t="shared" si="62" ref="O113:Y113">ROUND(AB113,2)</f>
        <v>286289.13</v>
      </c>
      <c r="P113" s="2">
        <f t="shared" si="62"/>
        <v>258789.32</v>
      </c>
      <c r="Q113" s="2">
        <f t="shared" si="62"/>
        <v>21460.83</v>
      </c>
      <c r="R113" s="2">
        <f t="shared" si="62"/>
        <v>6223.39</v>
      </c>
      <c r="S113" s="2">
        <f t="shared" si="62"/>
        <v>6038.98</v>
      </c>
      <c r="T113" s="2">
        <f t="shared" si="62"/>
        <v>0</v>
      </c>
      <c r="U113" s="2">
        <f t="shared" si="62"/>
        <v>38.13</v>
      </c>
      <c r="V113" s="2">
        <f t="shared" si="62"/>
        <v>25.49</v>
      </c>
      <c r="W113" s="2">
        <f t="shared" si="62"/>
        <v>0</v>
      </c>
      <c r="X113" s="2">
        <f t="shared" si="62"/>
        <v>14837.46</v>
      </c>
      <c r="Y113" s="2">
        <f t="shared" si="62"/>
        <v>7970.54</v>
      </c>
      <c r="Z113" s="2"/>
      <c r="AA113" s="2"/>
      <c r="AB113" s="2">
        <f>ROUND(SUMIF(AA108:AA111,"=0",O108:O111),2)</f>
        <v>286289.13</v>
      </c>
      <c r="AC113" s="2">
        <f>ROUND(SUMIF(AA108:AA111,"=0",P108:P111),2)</f>
        <v>258789.32</v>
      </c>
      <c r="AD113" s="2">
        <f>ROUND(SUMIF(AA108:AA111,"=0",Q108:Q111),2)</f>
        <v>21460.83</v>
      </c>
      <c r="AE113" s="2">
        <f>ROUND(SUMIF(AA108:AA111,"=0",R108:R111),2)</f>
        <v>6223.39</v>
      </c>
      <c r="AF113" s="2">
        <f>ROUND(SUMIF(AA108:AA111,"=0",S108:S111),2)</f>
        <v>6038.98</v>
      </c>
      <c r="AG113" s="2">
        <f>ROUND(SUMIF(AA108:AA111,"=0",T108:T111),2)</f>
        <v>0</v>
      </c>
      <c r="AH113" s="2">
        <f>ROUND(SUMIF(AA108:AA111,"=0",U108:U111),2)</f>
        <v>38.13</v>
      </c>
      <c r="AI113" s="2">
        <f>ROUND(SUMIF(AA108:AA111,"=0",V108:V111),2)</f>
        <v>25.49</v>
      </c>
      <c r="AJ113" s="2">
        <f>ROUND(SUMIF(AA108:AA111,"=0",W108:W111),2)</f>
        <v>0</v>
      </c>
      <c r="AK113" s="2">
        <f>ROUND(SUMIF(AA108:AA111,"=0",X108:X111),2)</f>
        <v>14837.46</v>
      </c>
      <c r="AL113" s="2">
        <f>ROUND(SUMIF(AA108:AA111,"=0",Y108:Y111),2)</f>
        <v>7970.54</v>
      </c>
      <c r="AM113" s="2"/>
      <c r="AN113" s="2">
        <f>ROUND(AO113,2)</f>
        <v>0</v>
      </c>
      <c r="AO113" s="2">
        <f>ROUND(SUMIF(AA108:AA111,"=0",FQ108:FQ111),2)</f>
        <v>0</v>
      </c>
      <c r="AP113" s="2">
        <f>ROUND(AQ113,2)</f>
        <v>0</v>
      </c>
      <c r="AQ113" s="2">
        <f>ROUND(SUM(FR108:FR111),2)</f>
        <v>0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201</v>
      </c>
      <c r="F115" s="3">
        <f>Source!O113</f>
        <v>286289.13</v>
      </c>
      <c r="G115" s="3" t="s">
        <v>49</v>
      </c>
      <c r="H115" s="3" t="s">
        <v>50</v>
      </c>
      <c r="I115" s="3"/>
      <c r="J115" s="3"/>
      <c r="K115" s="3">
        <v>201</v>
      </c>
      <c r="L115" s="3">
        <v>1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202</v>
      </c>
      <c r="F116" s="3">
        <f>Source!P113</f>
        <v>258789.32</v>
      </c>
      <c r="G116" s="3" t="s">
        <v>51</v>
      </c>
      <c r="H116" s="3" t="s">
        <v>52</v>
      </c>
      <c r="I116" s="3"/>
      <c r="J116" s="3"/>
      <c r="K116" s="3">
        <v>202</v>
      </c>
      <c r="L116" s="3">
        <v>2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222</v>
      </c>
      <c r="F117" s="3">
        <f>Source!AN113</f>
        <v>0</v>
      </c>
      <c r="G117" s="3" t="s">
        <v>53</v>
      </c>
      <c r="H117" s="3" t="s">
        <v>54</v>
      </c>
      <c r="I117" s="3"/>
      <c r="J117" s="3"/>
      <c r="K117" s="3">
        <v>222</v>
      </c>
      <c r="L117" s="3">
        <v>3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216</v>
      </c>
      <c r="F118" s="3">
        <f>Source!AP113</f>
        <v>0</v>
      </c>
      <c r="G118" s="3" t="s">
        <v>55</v>
      </c>
      <c r="H118" s="3" t="s">
        <v>56</v>
      </c>
      <c r="I118" s="3"/>
      <c r="J118" s="3"/>
      <c r="K118" s="3">
        <v>216</v>
      </c>
      <c r="L118" s="3">
        <v>4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203</v>
      </c>
      <c r="F119" s="3">
        <f>Source!Q113</f>
        <v>21460.83</v>
      </c>
      <c r="G119" s="3" t="s">
        <v>57</v>
      </c>
      <c r="H119" s="3" t="s">
        <v>58</v>
      </c>
      <c r="I119" s="3"/>
      <c r="J119" s="3"/>
      <c r="K119" s="3">
        <v>203</v>
      </c>
      <c r="L119" s="3">
        <v>5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204</v>
      </c>
      <c r="F120" s="3">
        <f>Source!R113</f>
        <v>6223.39</v>
      </c>
      <c r="G120" s="3" t="s">
        <v>59</v>
      </c>
      <c r="H120" s="3" t="s">
        <v>60</v>
      </c>
      <c r="I120" s="3"/>
      <c r="J120" s="3"/>
      <c r="K120" s="3">
        <v>204</v>
      </c>
      <c r="L120" s="3">
        <v>6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205</v>
      </c>
      <c r="F121" s="3">
        <f>Source!S113</f>
        <v>6038.98</v>
      </c>
      <c r="G121" s="3" t="s">
        <v>61</v>
      </c>
      <c r="H121" s="3" t="s">
        <v>62</v>
      </c>
      <c r="I121" s="3"/>
      <c r="J121" s="3"/>
      <c r="K121" s="3">
        <v>205</v>
      </c>
      <c r="L121" s="3">
        <v>7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206</v>
      </c>
      <c r="F122" s="3">
        <f>Source!T113</f>
        <v>0</v>
      </c>
      <c r="G122" s="3" t="s">
        <v>63</v>
      </c>
      <c r="H122" s="3" t="s">
        <v>64</v>
      </c>
      <c r="I122" s="3"/>
      <c r="J122" s="3"/>
      <c r="K122" s="3">
        <v>206</v>
      </c>
      <c r="L122" s="3">
        <v>8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207</v>
      </c>
      <c r="F123" s="3">
        <f>Source!U113</f>
        <v>38.13</v>
      </c>
      <c r="G123" s="3" t="s">
        <v>65</v>
      </c>
      <c r="H123" s="3" t="s">
        <v>66</v>
      </c>
      <c r="I123" s="3"/>
      <c r="J123" s="3"/>
      <c r="K123" s="3">
        <v>207</v>
      </c>
      <c r="L123" s="3">
        <v>9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208</v>
      </c>
      <c r="F124" s="3">
        <f>Source!V113</f>
        <v>25.49</v>
      </c>
      <c r="G124" s="3" t="s">
        <v>67</v>
      </c>
      <c r="H124" s="3" t="s">
        <v>68</v>
      </c>
      <c r="I124" s="3"/>
      <c r="J124" s="3"/>
      <c r="K124" s="3">
        <v>208</v>
      </c>
      <c r="L124" s="3">
        <v>10</v>
      </c>
      <c r="M124" s="3">
        <v>3</v>
      </c>
      <c r="N124" s="3" t="s">
        <v>3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209</v>
      </c>
      <c r="F125" s="3">
        <f>Source!W113</f>
        <v>0</v>
      </c>
      <c r="G125" s="3" t="s">
        <v>69</v>
      </c>
      <c r="H125" s="3" t="s">
        <v>70</v>
      </c>
      <c r="I125" s="3"/>
      <c r="J125" s="3"/>
      <c r="K125" s="3">
        <v>209</v>
      </c>
      <c r="L125" s="3">
        <v>11</v>
      </c>
      <c r="M125" s="3">
        <v>3</v>
      </c>
      <c r="N125" s="3" t="s">
        <v>3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210</v>
      </c>
      <c r="F126" s="3">
        <f>Source!X113</f>
        <v>14837.46</v>
      </c>
      <c r="G126" s="3" t="s">
        <v>71</v>
      </c>
      <c r="H126" s="3" t="s">
        <v>72</v>
      </c>
      <c r="I126" s="3"/>
      <c r="J126" s="3"/>
      <c r="K126" s="3">
        <v>210</v>
      </c>
      <c r="L126" s="3">
        <v>12</v>
      </c>
      <c r="M126" s="3">
        <v>3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211</v>
      </c>
      <c r="F127" s="3">
        <f>Source!Y113</f>
        <v>7970.54</v>
      </c>
      <c r="G127" s="3" t="s">
        <v>73</v>
      </c>
      <c r="H127" s="3" t="s">
        <v>74</v>
      </c>
      <c r="I127" s="3"/>
      <c r="J127" s="3"/>
      <c r="K127" s="3">
        <v>211</v>
      </c>
      <c r="L127" s="3">
        <v>13</v>
      </c>
      <c r="M127" s="3">
        <v>3</v>
      </c>
      <c r="N127" s="3" t="s">
        <v>3</v>
      </c>
    </row>
    <row r="128" ht="12.75">
      <c r="G128">
        <v>0</v>
      </c>
    </row>
    <row r="129" spans="1:67" ht="12.75">
      <c r="A129" s="1">
        <v>4</v>
      </c>
      <c r="B129" s="1">
        <v>1</v>
      </c>
      <c r="C129" s="1"/>
      <c r="D129" s="1">
        <f>ROW(A138)</f>
        <v>138</v>
      </c>
      <c r="E129" s="1"/>
      <c r="F129" s="1" t="s">
        <v>14</v>
      </c>
      <c r="G129" s="1" t="s">
        <v>448</v>
      </c>
      <c r="H129" s="1"/>
      <c r="I129" s="1"/>
      <c r="J129" s="1"/>
      <c r="K129" s="1"/>
      <c r="L129" s="1"/>
      <c r="M129" s="1"/>
      <c r="N129" s="1" t="s">
        <v>3</v>
      </c>
      <c r="O129" s="1"/>
      <c r="P129" s="1"/>
      <c r="Q129" s="1"/>
      <c r="R129" s="1" t="s">
        <v>3</v>
      </c>
      <c r="S129" s="1" t="s">
        <v>3</v>
      </c>
      <c r="T129" s="1" t="s">
        <v>3</v>
      </c>
      <c r="U129" s="1" t="s">
        <v>3</v>
      </c>
      <c r="V129" s="1"/>
      <c r="W129" s="1"/>
      <c r="X129" s="1">
        <v>0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>
        <v>0</v>
      </c>
      <c r="AM129" s="1"/>
      <c r="AN129" s="1"/>
      <c r="AO129" s="1" t="s">
        <v>3</v>
      </c>
      <c r="AP129" s="1" t="s">
        <v>3</v>
      </c>
      <c r="AQ129" s="1" t="s">
        <v>3</v>
      </c>
      <c r="AR129" s="1"/>
      <c r="AS129" s="1"/>
      <c r="AT129" s="1" t="s">
        <v>3</v>
      </c>
      <c r="AU129" s="1" t="s">
        <v>3</v>
      </c>
      <c r="AV129" s="1" t="s">
        <v>3</v>
      </c>
      <c r="AW129" s="1" t="s">
        <v>3</v>
      </c>
      <c r="AX129" s="1" t="s">
        <v>3</v>
      </c>
      <c r="AY129" s="1" t="s">
        <v>3</v>
      </c>
      <c r="AZ129" s="1" t="s">
        <v>3</v>
      </c>
      <c r="BA129" s="1" t="s">
        <v>3</v>
      </c>
      <c r="BB129" s="1" t="s">
        <v>3</v>
      </c>
      <c r="BC129" s="1" t="s">
        <v>3</v>
      </c>
      <c r="BD129" s="1" t="s">
        <v>3</v>
      </c>
      <c r="BE129" s="1" t="s">
        <v>128</v>
      </c>
      <c r="BF129" s="1">
        <v>0</v>
      </c>
      <c r="BG129" s="1">
        <v>0</v>
      </c>
      <c r="BH129" s="1" t="s">
        <v>3</v>
      </c>
      <c r="BI129" s="1" t="s">
        <v>3</v>
      </c>
      <c r="BJ129" s="1" t="s">
        <v>3</v>
      </c>
      <c r="BK129" s="1" t="s">
        <v>3</v>
      </c>
      <c r="BL129" s="1" t="s">
        <v>3</v>
      </c>
      <c r="BM129" s="1">
        <v>0</v>
      </c>
      <c r="BN129" s="1" t="s">
        <v>3</v>
      </c>
      <c r="BO129" s="1">
        <v>0</v>
      </c>
    </row>
    <row r="131" spans="1:43" ht="12.75">
      <c r="A131" s="2">
        <v>52</v>
      </c>
      <c r="B131" s="2">
        <f aca="true" t="shared" si="63" ref="B131:AQ131">B138</f>
        <v>1</v>
      </c>
      <c r="C131" s="2">
        <f t="shared" si="63"/>
        <v>4</v>
      </c>
      <c r="D131" s="2">
        <f t="shared" si="63"/>
        <v>129</v>
      </c>
      <c r="E131" s="2">
        <f t="shared" si="63"/>
        <v>0</v>
      </c>
      <c r="F131" s="2" t="str">
        <f t="shared" si="63"/>
        <v>Новый раздел</v>
      </c>
      <c r="G131" s="2" t="str">
        <f t="shared" si="63"/>
        <v>Ремонт придомовой территории</v>
      </c>
      <c r="H131" s="2">
        <f t="shared" si="63"/>
        <v>0</v>
      </c>
      <c r="I131" s="2">
        <f t="shared" si="63"/>
        <v>0</v>
      </c>
      <c r="J131" s="2">
        <f t="shared" si="63"/>
        <v>0</v>
      </c>
      <c r="K131" s="2">
        <f t="shared" si="63"/>
        <v>0</v>
      </c>
      <c r="L131" s="2">
        <f t="shared" si="63"/>
        <v>0</v>
      </c>
      <c r="M131" s="2">
        <f t="shared" si="63"/>
        <v>0</v>
      </c>
      <c r="N131" s="2">
        <f t="shared" si="63"/>
        <v>0</v>
      </c>
      <c r="O131" s="2">
        <f t="shared" si="63"/>
        <v>185245.9</v>
      </c>
      <c r="P131" s="2">
        <f t="shared" si="63"/>
        <v>167451.91</v>
      </c>
      <c r="Q131" s="2">
        <f t="shared" si="63"/>
        <v>13886.42</v>
      </c>
      <c r="R131" s="2">
        <f t="shared" si="63"/>
        <v>4026.91</v>
      </c>
      <c r="S131" s="2">
        <f t="shared" si="63"/>
        <v>3907.57</v>
      </c>
      <c r="T131" s="2">
        <f t="shared" si="63"/>
        <v>0</v>
      </c>
      <c r="U131" s="2">
        <f t="shared" si="63"/>
        <v>24.67</v>
      </c>
      <c r="V131" s="2">
        <f t="shared" si="63"/>
        <v>16.49</v>
      </c>
      <c r="W131" s="2">
        <f t="shared" si="63"/>
        <v>0</v>
      </c>
      <c r="X131" s="2">
        <f t="shared" si="63"/>
        <v>9600.72</v>
      </c>
      <c r="Y131" s="2">
        <f t="shared" si="63"/>
        <v>5157.42</v>
      </c>
      <c r="Z131" s="2">
        <f t="shared" si="63"/>
        <v>0</v>
      </c>
      <c r="AA131" s="2">
        <f t="shared" si="63"/>
        <v>0</v>
      </c>
      <c r="AB131" s="2">
        <f t="shared" si="63"/>
        <v>185245.9</v>
      </c>
      <c r="AC131" s="2">
        <f t="shared" si="63"/>
        <v>167451.91</v>
      </c>
      <c r="AD131" s="2">
        <f t="shared" si="63"/>
        <v>13886.42</v>
      </c>
      <c r="AE131" s="2">
        <f t="shared" si="63"/>
        <v>4026.91</v>
      </c>
      <c r="AF131" s="2">
        <f t="shared" si="63"/>
        <v>3907.57</v>
      </c>
      <c r="AG131" s="2">
        <f t="shared" si="63"/>
        <v>0</v>
      </c>
      <c r="AH131" s="2">
        <f t="shared" si="63"/>
        <v>24.67</v>
      </c>
      <c r="AI131" s="2">
        <f t="shared" si="63"/>
        <v>16.49</v>
      </c>
      <c r="AJ131" s="2">
        <f t="shared" si="63"/>
        <v>0</v>
      </c>
      <c r="AK131" s="2">
        <f t="shared" si="63"/>
        <v>9600.72</v>
      </c>
      <c r="AL131" s="2">
        <f t="shared" si="63"/>
        <v>5157.42</v>
      </c>
      <c r="AM131" s="2">
        <f t="shared" si="63"/>
        <v>0</v>
      </c>
      <c r="AN131" s="2">
        <f t="shared" si="63"/>
        <v>0</v>
      </c>
      <c r="AO131" s="2">
        <f t="shared" si="63"/>
        <v>0</v>
      </c>
      <c r="AP131" s="2">
        <f t="shared" si="63"/>
        <v>0</v>
      </c>
      <c r="AQ131" s="2">
        <f t="shared" si="63"/>
        <v>0</v>
      </c>
    </row>
    <row r="133" spans="1:193" ht="12.75">
      <c r="A133">
        <v>17</v>
      </c>
      <c r="B133">
        <v>1</v>
      </c>
      <c r="C133">
        <f>ROW(SmtRes!A107)</f>
        <v>107</v>
      </c>
      <c r="D133">
        <f>ROW(EtalonRes!A105)</f>
        <v>105</v>
      </c>
      <c r="E133" t="s">
        <v>129</v>
      </c>
      <c r="F133" t="s">
        <v>102</v>
      </c>
      <c r="G133" t="s">
        <v>103</v>
      </c>
      <c r="H133" t="s">
        <v>93</v>
      </c>
      <c r="I133">
        <v>0.495</v>
      </c>
      <c r="J133">
        <v>0</v>
      </c>
      <c r="O133">
        <f>ROUND(CP133,2)</f>
        <v>11765.99</v>
      </c>
      <c r="P133">
        <f>ROUND(CQ133*I133,2)</f>
        <v>41.85</v>
      </c>
      <c r="Q133">
        <f>ROUND(CR133*I133,2)</f>
        <v>9995.95</v>
      </c>
      <c r="R133">
        <f>ROUND(CS133*I133,2)</f>
        <v>2481.28</v>
      </c>
      <c r="S133">
        <f>ROUND(CT133*I133,2)</f>
        <v>1728.19</v>
      </c>
      <c r="T133">
        <f>ROUND(CU133*I133,2)</f>
        <v>0</v>
      </c>
      <c r="U133">
        <f>CV133*I133</f>
        <v>11.97405</v>
      </c>
      <c r="V133">
        <f>CW133*I133</f>
        <v>10.197000000000001</v>
      </c>
      <c r="W133">
        <f>ROUND(CX133*I133,2)</f>
        <v>0</v>
      </c>
      <c r="X133">
        <f aca="true" t="shared" si="64" ref="X133:Y136">ROUND(CY133,2)</f>
        <v>5093.46</v>
      </c>
      <c r="Y133">
        <f t="shared" si="64"/>
        <v>2736.16</v>
      </c>
      <c r="AA133">
        <v>0</v>
      </c>
      <c r="AB133">
        <f>(AC133+AD133+AF133)</f>
        <v>3578.4199999999996</v>
      </c>
      <c r="AC133">
        <f>(ES133)</f>
        <v>17.08</v>
      </c>
      <c r="AD133">
        <f>(ET133)</f>
        <v>3365.64</v>
      </c>
      <c r="AE133">
        <f>(EU133)</f>
        <v>280.98</v>
      </c>
      <c r="AF133">
        <f>(EV133)</f>
        <v>195.7</v>
      </c>
      <c r="AG133">
        <f>(AP133)</f>
        <v>0</v>
      </c>
      <c r="AH133">
        <f>(EW133)</f>
        <v>24.19</v>
      </c>
      <c r="AI133">
        <f>(EX133)</f>
        <v>20.6</v>
      </c>
      <c r="AJ133">
        <f>(AS133)</f>
        <v>0</v>
      </c>
      <c r="AK133">
        <v>3578.4199999999996</v>
      </c>
      <c r="AL133">
        <v>17.08</v>
      </c>
      <c r="AM133">
        <v>3365.64</v>
      </c>
      <c r="AN133">
        <v>280.98</v>
      </c>
      <c r="AO133">
        <v>195.7</v>
      </c>
      <c r="AP133">
        <v>0</v>
      </c>
      <c r="AQ133">
        <v>24.19</v>
      </c>
      <c r="AR133">
        <v>20.6</v>
      </c>
      <c r="AS133">
        <v>0</v>
      </c>
      <c r="AT133">
        <v>121</v>
      </c>
      <c r="AU133">
        <v>65</v>
      </c>
      <c r="AV133">
        <v>1</v>
      </c>
      <c r="AW133">
        <v>1</v>
      </c>
      <c r="AX133">
        <v>1</v>
      </c>
      <c r="AY133">
        <v>1</v>
      </c>
      <c r="AZ133">
        <v>8.6</v>
      </c>
      <c r="BA133">
        <v>17.84</v>
      </c>
      <c r="BB133">
        <v>6</v>
      </c>
      <c r="BC133">
        <v>4.95</v>
      </c>
      <c r="BH133">
        <v>0</v>
      </c>
      <c r="BI133">
        <v>1</v>
      </c>
      <c r="BJ133" t="s">
        <v>104</v>
      </c>
      <c r="BM133">
        <v>27001</v>
      </c>
      <c r="BN133">
        <v>0</v>
      </c>
      <c r="BO133" t="s">
        <v>102</v>
      </c>
      <c r="BP133">
        <v>1</v>
      </c>
      <c r="BQ133">
        <v>2</v>
      </c>
      <c r="BR133">
        <v>0</v>
      </c>
      <c r="BS133">
        <v>17.84</v>
      </c>
      <c r="BT133">
        <v>1</v>
      </c>
      <c r="BU133">
        <v>1</v>
      </c>
      <c r="BV133">
        <v>1</v>
      </c>
      <c r="BW133">
        <v>1</v>
      </c>
      <c r="BX133">
        <v>1</v>
      </c>
      <c r="BZ133">
        <v>142</v>
      </c>
      <c r="CA133">
        <v>95</v>
      </c>
      <c r="CF133">
        <v>0</v>
      </c>
      <c r="CG133">
        <v>0</v>
      </c>
      <c r="CM133">
        <v>0</v>
      </c>
      <c r="CO133">
        <v>0</v>
      </c>
      <c r="CP133">
        <f>(P133+Q133+S133)</f>
        <v>11765.990000000002</v>
      </c>
      <c r="CQ133">
        <f>(AC133)*BC133</f>
        <v>84.54599999999999</v>
      </c>
      <c r="CR133">
        <f>(AD133)*BB133</f>
        <v>20193.84</v>
      </c>
      <c r="CS133">
        <f>(AE133)*BS133</f>
        <v>5012.6832</v>
      </c>
      <c r="CT133">
        <f>(AF133)*BA133</f>
        <v>3491.2879999999996</v>
      </c>
      <c r="CU133">
        <f aca="true" t="shared" si="65" ref="CU133:CX136">(AG133)*BT133</f>
        <v>0</v>
      </c>
      <c r="CV133">
        <f t="shared" si="65"/>
        <v>24.19</v>
      </c>
      <c r="CW133">
        <f t="shared" si="65"/>
        <v>20.6</v>
      </c>
      <c r="CX133">
        <f t="shared" si="65"/>
        <v>0</v>
      </c>
      <c r="CY133">
        <f>((S133+R133)*(ROUND((FX133*IF(1,(IF(0,0.94,0.85)*IF(0,0.85,1)),1)),IF(1,0,2))/100))</f>
        <v>5093.4587</v>
      </c>
      <c r="CZ133">
        <f>((S133+R133)*(ROUND((FY133*IF(1,0.8,1)),IF(1,0,2))/100))</f>
        <v>2736.1555000000003</v>
      </c>
      <c r="DN133">
        <v>0</v>
      </c>
      <c r="DO133">
        <v>0</v>
      </c>
      <c r="DP133">
        <v>1</v>
      </c>
      <c r="DQ133">
        <v>1</v>
      </c>
      <c r="DR133">
        <v>1</v>
      </c>
      <c r="DS133">
        <v>1</v>
      </c>
      <c r="DT133">
        <v>1</v>
      </c>
      <c r="DU133">
        <v>1007</v>
      </c>
      <c r="DV133" t="s">
        <v>93</v>
      </c>
      <c r="DW133" t="s">
        <v>95</v>
      </c>
      <c r="DX133">
        <v>100</v>
      </c>
      <c r="EE133">
        <v>26532675</v>
      </c>
      <c r="EF133">
        <v>2</v>
      </c>
      <c r="EG133" t="s">
        <v>22</v>
      </c>
      <c r="EH133">
        <v>0</v>
      </c>
      <c r="EJ133">
        <v>1</v>
      </c>
      <c r="EK133">
        <v>27001</v>
      </c>
      <c r="EL133" t="s">
        <v>23</v>
      </c>
      <c r="EM133" t="s">
        <v>24</v>
      </c>
      <c r="EQ133">
        <v>0</v>
      </c>
      <c r="ER133">
        <v>3578.42</v>
      </c>
      <c r="ES133">
        <v>17.08</v>
      </c>
      <c r="ET133">
        <v>3365.64</v>
      </c>
      <c r="EU133">
        <v>280.98</v>
      </c>
      <c r="EV133">
        <v>195.7</v>
      </c>
      <c r="EW133">
        <v>24.19</v>
      </c>
      <c r="EX133">
        <v>20.6</v>
      </c>
      <c r="EY133">
        <v>0</v>
      </c>
      <c r="EZ133">
        <v>0</v>
      </c>
      <c r="FQ133">
        <v>0</v>
      </c>
      <c r="FR133">
        <f>ROUND(IF(AND(AA133=0,BI133=3),P133,0),2)</f>
        <v>0</v>
      </c>
      <c r="FS133">
        <v>0</v>
      </c>
      <c r="FU133" t="s">
        <v>25</v>
      </c>
      <c r="FV133" t="s">
        <v>26</v>
      </c>
      <c r="FW133" t="s">
        <v>27</v>
      </c>
      <c r="FX133">
        <v>142</v>
      </c>
      <c r="FY133">
        <v>80.75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</row>
    <row r="134" spans="1:193" ht="12.75">
      <c r="A134">
        <v>18</v>
      </c>
      <c r="B134">
        <v>1</v>
      </c>
      <c r="C134">
        <v>106</v>
      </c>
      <c r="E134" t="s">
        <v>130</v>
      </c>
      <c r="F134" t="s">
        <v>106</v>
      </c>
      <c r="G134" t="s">
        <v>107</v>
      </c>
      <c r="H134" t="s">
        <v>99</v>
      </c>
      <c r="I134">
        <f>I133*J134</f>
        <v>61.875</v>
      </c>
      <c r="J134">
        <v>125</v>
      </c>
      <c r="O134">
        <f>ROUND(CP134,2)</f>
        <v>65828.44</v>
      </c>
      <c r="P134">
        <f>ROUND(CQ134*I134,2)</f>
        <v>65828.44</v>
      </c>
      <c r="Q134">
        <f>ROUND(CR134*I134,2)</f>
        <v>0</v>
      </c>
      <c r="R134">
        <f>ROUND(CS134*I134,2)</f>
        <v>0</v>
      </c>
      <c r="S134">
        <f>ROUND(CT134*I134,2)</f>
        <v>0</v>
      </c>
      <c r="T134">
        <f>ROUND(CU134*I134,2)</f>
        <v>0</v>
      </c>
      <c r="U134">
        <f>CV134*I134</f>
        <v>0</v>
      </c>
      <c r="V134">
        <f>CW134*I134</f>
        <v>0</v>
      </c>
      <c r="W134">
        <f>ROUND(CX134*I134,2)</f>
        <v>0</v>
      </c>
      <c r="X134">
        <f t="shared" si="64"/>
        <v>0</v>
      </c>
      <c r="Y134">
        <f t="shared" si="64"/>
        <v>0</v>
      </c>
      <c r="AA134">
        <v>0</v>
      </c>
      <c r="AB134">
        <f>(AC134+AD134+AF134)</f>
        <v>98.6</v>
      </c>
      <c r="AC134">
        <f aca="true" t="shared" si="66" ref="AC134:AJ134">AL134</f>
        <v>98.6</v>
      </c>
      <c r="AD134">
        <f t="shared" si="66"/>
        <v>0</v>
      </c>
      <c r="AE134">
        <f t="shared" si="66"/>
        <v>0</v>
      </c>
      <c r="AF134">
        <f t="shared" si="66"/>
        <v>0</v>
      </c>
      <c r="AG134">
        <f t="shared" si="66"/>
        <v>0</v>
      </c>
      <c r="AH134">
        <f t="shared" si="66"/>
        <v>0</v>
      </c>
      <c r="AI134">
        <f t="shared" si="66"/>
        <v>0</v>
      </c>
      <c r="AJ134">
        <f t="shared" si="66"/>
        <v>0</v>
      </c>
      <c r="AK134">
        <v>98.6</v>
      </c>
      <c r="AL134">
        <v>98.6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121</v>
      </c>
      <c r="AU134">
        <v>65</v>
      </c>
      <c r="AV134">
        <v>1</v>
      </c>
      <c r="AW134">
        <v>1</v>
      </c>
      <c r="AX134">
        <v>1</v>
      </c>
      <c r="AY134">
        <v>1</v>
      </c>
      <c r="AZ134">
        <v>1</v>
      </c>
      <c r="BA134">
        <v>1</v>
      </c>
      <c r="BB134">
        <v>1</v>
      </c>
      <c r="BC134">
        <v>10.79</v>
      </c>
      <c r="BH134">
        <v>3</v>
      </c>
      <c r="BI134">
        <v>1</v>
      </c>
      <c r="BJ134" t="s">
        <v>108</v>
      </c>
      <c r="BM134">
        <v>27001</v>
      </c>
      <c r="BN134">
        <v>0</v>
      </c>
      <c r="BO134" t="s">
        <v>106</v>
      </c>
      <c r="BP134">
        <v>1</v>
      </c>
      <c r="BQ134">
        <v>2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Z134">
        <v>142</v>
      </c>
      <c r="CA134">
        <v>95</v>
      </c>
      <c r="CF134">
        <v>0</v>
      </c>
      <c r="CG134">
        <v>0</v>
      </c>
      <c r="CM134">
        <v>0</v>
      </c>
      <c r="CO134">
        <v>0</v>
      </c>
      <c r="CP134">
        <f>(P134+Q134+S134)</f>
        <v>65828.44</v>
      </c>
      <c r="CQ134">
        <f>(AC134)*BC134</f>
        <v>1063.8939999999998</v>
      </c>
      <c r="CR134">
        <f>(AD134)*BB134</f>
        <v>0</v>
      </c>
      <c r="CS134">
        <f>(AE134)*BS134</f>
        <v>0</v>
      </c>
      <c r="CT134">
        <f>(AF134)*BA134</f>
        <v>0</v>
      </c>
      <c r="CU134">
        <f t="shared" si="65"/>
        <v>0</v>
      </c>
      <c r="CV134">
        <f t="shared" si="65"/>
        <v>0</v>
      </c>
      <c r="CW134">
        <f t="shared" si="65"/>
        <v>0</v>
      </c>
      <c r="CX134">
        <f t="shared" si="65"/>
        <v>0</v>
      </c>
      <c r="CY134">
        <f>((S134+R134)*(ROUND((FX134*IF(1,(IF(0,0.94,0.85)*IF(0,0.85,1)),1)),IF(1,0,2))/100))</f>
        <v>0</v>
      </c>
      <c r="CZ134">
        <f>((S134+R134)*(ROUND((FY134*IF(1,0.8,1)),IF(1,0,2))/100))</f>
        <v>0</v>
      </c>
      <c r="DN134">
        <v>0</v>
      </c>
      <c r="DO134">
        <v>0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1007</v>
      </c>
      <c r="DV134" t="s">
        <v>99</v>
      </c>
      <c r="DW134" t="s">
        <v>99</v>
      </c>
      <c r="DX134">
        <v>1</v>
      </c>
      <c r="EE134">
        <v>26532675</v>
      </c>
      <c r="EF134">
        <v>2</v>
      </c>
      <c r="EG134" t="s">
        <v>22</v>
      </c>
      <c r="EH134">
        <v>0</v>
      </c>
      <c r="EJ134">
        <v>1</v>
      </c>
      <c r="EK134">
        <v>27001</v>
      </c>
      <c r="EL134" t="s">
        <v>23</v>
      </c>
      <c r="EM134" t="s">
        <v>24</v>
      </c>
      <c r="EQ134">
        <v>0</v>
      </c>
      <c r="ER134">
        <v>98.6</v>
      </c>
      <c r="ES134">
        <v>98.6</v>
      </c>
      <c r="ET134">
        <v>0</v>
      </c>
      <c r="EU134">
        <v>0</v>
      </c>
      <c r="EV134">
        <v>0</v>
      </c>
      <c r="EW134">
        <v>0</v>
      </c>
      <c r="EX134">
        <v>0</v>
      </c>
      <c r="EZ134">
        <v>0</v>
      </c>
      <c r="FQ134">
        <v>0</v>
      </c>
      <c r="FR134">
        <f>ROUND(IF(AND(AA134=0,BI134=3),P134,0),2)</f>
        <v>0</v>
      </c>
      <c r="FS134">
        <v>0</v>
      </c>
      <c r="FU134" t="s">
        <v>25</v>
      </c>
      <c r="FV134" t="s">
        <v>26</v>
      </c>
      <c r="FW134" t="s">
        <v>27</v>
      </c>
      <c r="FX134">
        <v>142</v>
      </c>
      <c r="FY134">
        <v>80.75</v>
      </c>
      <c r="GA134">
        <v>98.6</v>
      </c>
      <c r="GB134">
        <v>98.6</v>
      </c>
      <c r="GC134">
        <v>0</v>
      </c>
      <c r="GD134">
        <v>0</v>
      </c>
      <c r="GE134">
        <v>0</v>
      </c>
      <c r="GF134">
        <v>98.6</v>
      </c>
      <c r="GG134">
        <v>98.6</v>
      </c>
      <c r="GH134">
        <v>0</v>
      </c>
      <c r="GI134">
        <v>0</v>
      </c>
      <c r="GJ134">
        <v>0</v>
      </c>
      <c r="GK134">
        <v>0</v>
      </c>
    </row>
    <row r="135" spans="1:193" ht="12.75">
      <c r="A135">
        <v>17</v>
      </c>
      <c r="B135">
        <v>1</v>
      </c>
      <c r="C135">
        <f>ROW(SmtRes!A120)</f>
        <v>120</v>
      </c>
      <c r="D135">
        <f>ROW(EtalonRes!A118)</f>
        <v>118</v>
      </c>
      <c r="E135" t="s">
        <v>131</v>
      </c>
      <c r="F135" t="s">
        <v>113</v>
      </c>
      <c r="G135" t="s">
        <v>114</v>
      </c>
      <c r="H135" t="s">
        <v>115</v>
      </c>
      <c r="I135">
        <v>0.33</v>
      </c>
      <c r="J135">
        <v>0</v>
      </c>
      <c r="O135">
        <f>ROUND(CP135,2)</f>
        <v>87354.86</v>
      </c>
      <c r="P135">
        <f>ROUND(CQ135*I135,2)</f>
        <v>81303.58</v>
      </c>
      <c r="Q135">
        <f>ROUND(CR135*I135,2)</f>
        <v>3882.14</v>
      </c>
      <c r="R135">
        <f>ROUND(CS135*I135,2)</f>
        <v>1545.63</v>
      </c>
      <c r="S135">
        <f>ROUND(CT135*I135,2)</f>
        <v>2169.14</v>
      </c>
      <c r="T135">
        <f>ROUND(CU135*I135,2)</f>
        <v>0</v>
      </c>
      <c r="U135">
        <f>CV135*I135</f>
        <v>12.639</v>
      </c>
      <c r="V135">
        <f>CW135*I135</f>
        <v>6.296399999999999</v>
      </c>
      <c r="W135">
        <f>ROUND(CX135*I135,2)</f>
        <v>0</v>
      </c>
      <c r="X135">
        <f t="shared" si="64"/>
        <v>4494.87</v>
      </c>
      <c r="Y135">
        <f t="shared" si="64"/>
        <v>2414.6</v>
      </c>
      <c r="AA135">
        <v>0</v>
      </c>
      <c r="AB135">
        <f>(AC135+AD135+AF135)</f>
        <v>54732.409999999996</v>
      </c>
      <c r="AC135">
        <f>(ES135)</f>
        <v>51977.74</v>
      </c>
      <c r="AD135">
        <f>(ET135)</f>
        <v>2386.22</v>
      </c>
      <c r="AE135">
        <f>(EU135)</f>
        <v>262.54</v>
      </c>
      <c r="AF135">
        <f>(EV135)</f>
        <v>368.45</v>
      </c>
      <c r="AG135">
        <f>(AP135)</f>
        <v>0</v>
      </c>
      <c r="AH135">
        <f>(EW135)</f>
        <v>38.3</v>
      </c>
      <c r="AI135">
        <f>(EX135)</f>
        <v>19.08</v>
      </c>
      <c r="AJ135">
        <f>(AS135)</f>
        <v>0</v>
      </c>
      <c r="AK135">
        <v>54732.409999999996</v>
      </c>
      <c r="AL135">
        <v>51977.74</v>
      </c>
      <c r="AM135">
        <v>2386.22</v>
      </c>
      <c r="AN135">
        <v>262.54</v>
      </c>
      <c r="AO135">
        <v>368.45</v>
      </c>
      <c r="AP135">
        <v>0</v>
      </c>
      <c r="AQ135">
        <v>38.3</v>
      </c>
      <c r="AR135">
        <v>19.08</v>
      </c>
      <c r="AS135">
        <v>0</v>
      </c>
      <c r="AT135">
        <v>121</v>
      </c>
      <c r="AU135">
        <v>65</v>
      </c>
      <c r="AV135">
        <v>1</v>
      </c>
      <c r="AW135">
        <v>1</v>
      </c>
      <c r="AX135">
        <v>1</v>
      </c>
      <c r="AY135">
        <v>1</v>
      </c>
      <c r="AZ135">
        <v>5.1</v>
      </c>
      <c r="BA135">
        <v>17.84</v>
      </c>
      <c r="BB135">
        <v>4.93</v>
      </c>
      <c r="BC135">
        <v>4.74</v>
      </c>
      <c r="BH135">
        <v>0</v>
      </c>
      <c r="BI135">
        <v>1</v>
      </c>
      <c r="BJ135" t="s">
        <v>116</v>
      </c>
      <c r="BM135">
        <v>27001</v>
      </c>
      <c r="BN135">
        <v>0</v>
      </c>
      <c r="BO135" t="s">
        <v>113</v>
      </c>
      <c r="BP135">
        <v>1</v>
      </c>
      <c r="BQ135">
        <v>2</v>
      </c>
      <c r="BR135">
        <v>0</v>
      </c>
      <c r="BS135">
        <v>17.84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142</v>
      </c>
      <c r="CA135">
        <v>95</v>
      </c>
      <c r="CF135">
        <v>0</v>
      </c>
      <c r="CG135">
        <v>0</v>
      </c>
      <c r="CM135">
        <v>0</v>
      </c>
      <c r="CO135">
        <v>0</v>
      </c>
      <c r="CP135">
        <f>(P135+Q135+S135)</f>
        <v>87354.86</v>
      </c>
      <c r="CQ135">
        <f>(AC135)*BC135</f>
        <v>246374.4876</v>
      </c>
      <c r="CR135">
        <f>(AD135)*BB135</f>
        <v>11764.064599999998</v>
      </c>
      <c r="CS135">
        <f>(AE135)*BS135</f>
        <v>4683.7136</v>
      </c>
      <c r="CT135">
        <f>(AF135)*BA135</f>
        <v>6573.148</v>
      </c>
      <c r="CU135">
        <f t="shared" si="65"/>
        <v>0</v>
      </c>
      <c r="CV135">
        <f t="shared" si="65"/>
        <v>38.3</v>
      </c>
      <c r="CW135">
        <f t="shared" si="65"/>
        <v>19.08</v>
      </c>
      <c r="CX135">
        <f t="shared" si="65"/>
        <v>0</v>
      </c>
      <c r="CY135">
        <f>((S135+R135)*(ROUND((FX135*IF(1,(IF(0,0.94,0.85)*IF(0,0.85,1)),1)),IF(1,0,2))/100))</f>
        <v>4494.8717</v>
      </c>
      <c r="CZ135">
        <f>((S135+R135)*(ROUND((FY135*IF(1,0.8,1)),IF(1,0,2))/100))</f>
        <v>2414.6005</v>
      </c>
      <c r="DN135">
        <v>0</v>
      </c>
      <c r="DO135">
        <v>0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1005</v>
      </c>
      <c r="DV135" t="s">
        <v>115</v>
      </c>
      <c r="DW135" t="s">
        <v>117</v>
      </c>
      <c r="DX135">
        <v>1000</v>
      </c>
      <c r="EE135">
        <v>26532675</v>
      </c>
      <c r="EF135">
        <v>2</v>
      </c>
      <c r="EG135" t="s">
        <v>22</v>
      </c>
      <c r="EH135">
        <v>0</v>
      </c>
      <c r="EJ135">
        <v>1</v>
      </c>
      <c r="EK135">
        <v>27001</v>
      </c>
      <c r="EL135" t="s">
        <v>23</v>
      </c>
      <c r="EM135" t="s">
        <v>24</v>
      </c>
      <c r="EQ135">
        <v>0</v>
      </c>
      <c r="ER135">
        <v>54732.41</v>
      </c>
      <c r="ES135">
        <v>51977.74</v>
      </c>
      <c r="ET135">
        <v>2386.22</v>
      </c>
      <c r="EU135">
        <v>262.54</v>
      </c>
      <c r="EV135">
        <v>368.45</v>
      </c>
      <c r="EW135">
        <v>38.3</v>
      </c>
      <c r="EX135">
        <v>19.08</v>
      </c>
      <c r="EY135">
        <v>0</v>
      </c>
      <c r="EZ135">
        <v>0</v>
      </c>
      <c r="FQ135">
        <v>0</v>
      </c>
      <c r="FR135">
        <f>ROUND(IF(AND(AA135=0,BI135=3),P135,0),2)</f>
        <v>0</v>
      </c>
      <c r="FS135">
        <v>0</v>
      </c>
      <c r="FU135" t="s">
        <v>25</v>
      </c>
      <c r="FV135" t="s">
        <v>26</v>
      </c>
      <c r="FW135" t="s">
        <v>27</v>
      </c>
      <c r="FX135">
        <v>142</v>
      </c>
      <c r="FY135">
        <v>80.75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</row>
    <row r="136" spans="1:193" ht="12.75">
      <c r="A136">
        <v>17</v>
      </c>
      <c r="B136">
        <v>1</v>
      </c>
      <c r="C136">
        <f>ROW(SmtRes!A125)</f>
        <v>125</v>
      </c>
      <c r="D136">
        <f>ROW(EtalonRes!A123)</f>
        <v>123</v>
      </c>
      <c r="E136" t="s">
        <v>132</v>
      </c>
      <c r="F136" t="s">
        <v>119</v>
      </c>
      <c r="G136" t="s">
        <v>120</v>
      </c>
      <c r="H136" t="s">
        <v>115</v>
      </c>
      <c r="I136">
        <v>0.33</v>
      </c>
      <c r="J136">
        <v>0</v>
      </c>
      <c r="O136">
        <f>ROUND(CP136,2)</f>
        <v>20296.61</v>
      </c>
      <c r="P136">
        <f>ROUND(CQ136*I136,2)</f>
        <v>20278.04</v>
      </c>
      <c r="Q136">
        <f>ROUND(CR136*I136,2)</f>
        <v>8.33</v>
      </c>
      <c r="R136">
        <f>ROUND(CS136*I136,2)</f>
        <v>0</v>
      </c>
      <c r="S136">
        <f>ROUND(CT136*I136,2)</f>
        <v>10.24</v>
      </c>
      <c r="T136">
        <f>ROUND(CU136*I136,2)</f>
        <v>0</v>
      </c>
      <c r="U136">
        <f>CV136*I136</f>
        <v>0.0594</v>
      </c>
      <c r="V136">
        <f>CW136*I136</f>
        <v>0</v>
      </c>
      <c r="W136">
        <f>ROUND(CX136*I136,2)</f>
        <v>0</v>
      </c>
      <c r="X136">
        <f t="shared" si="64"/>
        <v>12.39</v>
      </c>
      <c r="Y136">
        <f t="shared" si="64"/>
        <v>6.66</v>
      </c>
      <c r="AA136">
        <v>0</v>
      </c>
      <c r="AB136">
        <f>(AC136+AD136+AF136)</f>
        <v>12971.78</v>
      </c>
      <c r="AC136">
        <f>((ES136*2))</f>
        <v>12963.84</v>
      </c>
      <c r="AD136">
        <f>((ET136*2))</f>
        <v>6.2</v>
      </c>
      <c r="AE136">
        <f>((EU136*2))</f>
        <v>0</v>
      </c>
      <c r="AF136">
        <f>((EV136*2))</f>
        <v>1.74</v>
      </c>
      <c r="AG136">
        <f>(AP136)</f>
        <v>0</v>
      </c>
      <c r="AH136">
        <f>((EW136*2))</f>
        <v>0.18</v>
      </c>
      <c r="AI136">
        <f>((EX136*2))</f>
        <v>0</v>
      </c>
      <c r="AJ136">
        <f>(AS136)</f>
        <v>0</v>
      </c>
      <c r="AK136">
        <v>6485.89</v>
      </c>
      <c r="AL136">
        <v>6481.92</v>
      </c>
      <c r="AM136">
        <v>3.1</v>
      </c>
      <c r="AN136">
        <v>0</v>
      </c>
      <c r="AO136">
        <v>0.87</v>
      </c>
      <c r="AP136">
        <v>0</v>
      </c>
      <c r="AQ136">
        <v>0.09</v>
      </c>
      <c r="AR136">
        <v>0</v>
      </c>
      <c r="AS136">
        <v>0</v>
      </c>
      <c r="AT136">
        <v>121</v>
      </c>
      <c r="AU136">
        <v>65</v>
      </c>
      <c r="AV136">
        <v>1</v>
      </c>
      <c r="AW136">
        <v>1</v>
      </c>
      <c r="AX136">
        <v>1</v>
      </c>
      <c r="AY136">
        <v>1</v>
      </c>
      <c r="AZ136">
        <v>4.74</v>
      </c>
      <c r="BA136">
        <v>17.84</v>
      </c>
      <c r="BB136">
        <v>4.07</v>
      </c>
      <c r="BC136">
        <v>4.74</v>
      </c>
      <c r="BH136">
        <v>0</v>
      </c>
      <c r="BI136">
        <v>1</v>
      </c>
      <c r="BJ136" t="s">
        <v>121</v>
      </c>
      <c r="BM136">
        <v>27001</v>
      </c>
      <c r="BN136">
        <v>0</v>
      </c>
      <c r="BO136" t="s">
        <v>119</v>
      </c>
      <c r="BP136">
        <v>1</v>
      </c>
      <c r="BQ136">
        <v>2</v>
      </c>
      <c r="BR136">
        <v>0</v>
      </c>
      <c r="BS136">
        <v>17.84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142</v>
      </c>
      <c r="CA136">
        <v>95</v>
      </c>
      <c r="CF136">
        <v>0</v>
      </c>
      <c r="CG136">
        <v>0</v>
      </c>
      <c r="CM136">
        <v>0</v>
      </c>
      <c r="CO136">
        <v>0</v>
      </c>
      <c r="CP136">
        <f>(P136+Q136+S136)</f>
        <v>20296.610000000004</v>
      </c>
      <c r="CQ136">
        <f>(AC136)*BC136</f>
        <v>61448.6016</v>
      </c>
      <c r="CR136">
        <f>(AD136)*BB136</f>
        <v>25.234</v>
      </c>
      <c r="CS136">
        <f>(AE136)*BS136</f>
        <v>0</v>
      </c>
      <c r="CT136">
        <f>(AF136)*BA136</f>
        <v>31.0416</v>
      </c>
      <c r="CU136">
        <f t="shared" si="65"/>
        <v>0</v>
      </c>
      <c r="CV136">
        <f t="shared" si="65"/>
        <v>0.18</v>
      </c>
      <c r="CW136">
        <f t="shared" si="65"/>
        <v>0</v>
      </c>
      <c r="CX136">
        <f t="shared" si="65"/>
        <v>0</v>
      </c>
      <c r="CY136">
        <f>((S136+R136)*(ROUND((FX136*IF(1,(IF(0,0.94,0.85)*IF(0,0.85,1)),1)),IF(1,0,2))/100))</f>
        <v>12.3904</v>
      </c>
      <c r="CZ136">
        <f>((S136+R136)*(ROUND((FY136*IF(1,0.8,1)),IF(1,0,2))/100))</f>
        <v>6.656000000000001</v>
      </c>
      <c r="DD136" t="s">
        <v>122</v>
      </c>
      <c r="DE136" t="s">
        <v>122</v>
      </c>
      <c r="DF136" t="s">
        <v>122</v>
      </c>
      <c r="DG136" t="s">
        <v>122</v>
      </c>
      <c r="DI136" t="s">
        <v>122</v>
      </c>
      <c r="DJ136" t="s">
        <v>122</v>
      </c>
      <c r="DN136">
        <v>0</v>
      </c>
      <c r="DO136">
        <v>0</v>
      </c>
      <c r="DP136">
        <v>1</v>
      </c>
      <c r="DQ136">
        <v>1</v>
      </c>
      <c r="DR136">
        <v>1</v>
      </c>
      <c r="DS136">
        <v>1</v>
      </c>
      <c r="DT136">
        <v>1</v>
      </c>
      <c r="DU136">
        <v>1005</v>
      </c>
      <c r="DV136" t="s">
        <v>115</v>
      </c>
      <c r="DW136" t="s">
        <v>117</v>
      </c>
      <c r="DX136">
        <v>1000</v>
      </c>
      <c r="EE136">
        <v>26532675</v>
      </c>
      <c r="EF136">
        <v>2</v>
      </c>
      <c r="EG136" t="s">
        <v>22</v>
      </c>
      <c r="EH136">
        <v>0</v>
      </c>
      <c r="EJ136">
        <v>1</v>
      </c>
      <c r="EK136">
        <v>27001</v>
      </c>
      <c r="EL136" t="s">
        <v>23</v>
      </c>
      <c r="EM136" t="s">
        <v>24</v>
      </c>
      <c r="EQ136">
        <v>0</v>
      </c>
      <c r="ER136">
        <v>6485.89</v>
      </c>
      <c r="ES136">
        <v>6481.92</v>
      </c>
      <c r="ET136">
        <v>3.1</v>
      </c>
      <c r="EU136">
        <v>0</v>
      </c>
      <c r="EV136">
        <v>0.87</v>
      </c>
      <c r="EW136">
        <v>0.09</v>
      </c>
      <c r="EX136">
        <v>0</v>
      </c>
      <c r="EY136">
        <v>0</v>
      </c>
      <c r="EZ136">
        <v>0</v>
      </c>
      <c r="FQ136">
        <v>0</v>
      </c>
      <c r="FR136">
        <f>ROUND(IF(AND(AA136=0,BI136=3),P136,0),2)</f>
        <v>0</v>
      </c>
      <c r="FS136">
        <v>0</v>
      </c>
      <c r="FU136" t="s">
        <v>25</v>
      </c>
      <c r="FV136" t="s">
        <v>26</v>
      </c>
      <c r="FW136" t="s">
        <v>27</v>
      </c>
      <c r="FX136">
        <v>142</v>
      </c>
      <c r="FY136">
        <v>80.75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</row>
    <row r="138" spans="1:43" ht="12.75">
      <c r="A138" s="2">
        <v>51</v>
      </c>
      <c r="B138" s="2">
        <f>B129</f>
        <v>1</v>
      </c>
      <c r="C138" s="2">
        <f>A129</f>
        <v>4</v>
      </c>
      <c r="D138" s="2">
        <f>ROW(A129)</f>
        <v>129</v>
      </c>
      <c r="E138" s="2"/>
      <c r="F138" s="2" t="str">
        <f>IF(F129&lt;&gt;"",F129,"")</f>
        <v>Новый раздел</v>
      </c>
      <c r="G138" s="2" t="str">
        <f>IF(G129&lt;&gt;"",G129,"")</f>
        <v>Ремонт придомовой территории</v>
      </c>
      <c r="H138" s="2"/>
      <c r="I138" s="2"/>
      <c r="J138" s="2"/>
      <c r="K138" s="2"/>
      <c r="L138" s="2"/>
      <c r="M138" s="2"/>
      <c r="N138" s="2"/>
      <c r="O138" s="2">
        <f aca="true" t="shared" si="67" ref="O138:Y138">ROUND(AB138,2)</f>
        <v>185245.9</v>
      </c>
      <c r="P138" s="2">
        <f t="shared" si="67"/>
        <v>167451.91</v>
      </c>
      <c r="Q138" s="2">
        <f t="shared" si="67"/>
        <v>13886.42</v>
      </c>
      <c r="R138" s="2">
        <f t="shared" si="67"/>
        <v>4026.91</v>
      </c>
      <c r="S138" s="2">
        <f t="shared" si="67"/>
        <v>3907.57</v>
      </c>
      <c r="T138" s="2">
        <f t="shared" si="67"/>
        <v>0</v>
      </c>
      <c r="U138" s="2">
        <f t="shared" si="67"/>
        <v>24.67</v>
      </c>
      <c r="V138" s="2">
        <f t="shared" si="67"/>
        <v>16.49</v>
      </c>
      <c r="W138" s="2">
        <f t="shared" si="67"/>
        <v>0</v>
      </c>
      <c r="X138" s="2">
        <f t="shared" si="67"/>
        <v>9600.72</v>
      </c>
      <c r="Y138" s="2">
        <f t="shared" si="67"/>
        <v>5157.42</v>
      </c>
      <c r="Z138" s="2"/>
      <c r="AA138" s="2"/>
      <c r="AB138" s="2">
        <f>ROUND(SUMIF(AA133:AA136,"=0",O133:O136),2)</f>
        <v>185245.9</v>
      </c>
      <c r="AC138" s="2">
        <f>ROUND(SUMIF(AA133:AA136,"=0",P133:P136),2)</f>
        <v>167451.91</v>
      </c>
      <c r="AD138" s="2">
        <f>ROUND(SUMIF(AA133:AA136,"=0",Q133:Q136),2)</f>
        <v>13886.42</v>
      </c>
      <c r="AE138" s="2">
        <f>ROUND(SUMIF(AA133:AA136,"=0",R133:R136),2)</f>
        <v>4026.91</v>
      </c>
      <c r="AF138" s="2">
        <f>ROUND(SUMIF(AA133:AA136,"=0",S133:S136),2)</f>
        <v>3907.57</v>
      </c>
      <c r="AG138" s="2">
        <f>ROUND(SUMIF(AA133:AA136,"=0",T133:T136),2)</f>
        <v>0</v>
      </c>
      <c r="AH138" s="2">
        <f>ROUND(SUMIF(AA133:AA136,"=0",U133:U136),2)</f>
        <v>24.67</v>
      </c>
      <c r="AI138" s="2">
        <f>ROUND(SUMIF(AA133:AA136,"=0",V133:V136),2)</f>
        <v>16.49</v>
      </c>
      <c r="AJ138" s="2">
        <f>ROUND(SUMIF(AA133:AA136,"=0",W133:W136),2)</f>
        <v>0</v>
      </c>
      <c r="AK138" s="2">
        <f>ROUND(SUMIF(AA133:AA136,"=0",X133:X136),2)</f>
        <v>9600.72</v>
      </c>
      <c r="AL138" s="2">
        <f>ROUND(SUMIF(AA133:AA136,"=0",Y133:Y136),2)</f>
        <v>5157.42</v>
      </c>
      <c r="AM138" s="2"/>
      <c r="AN138" s="2">
        <f>ROUND(AO138,2)</f>
        <v>0</v>
      </c>
      <c r="AO138" s="2">
        <f>ROUND(SUMIF(AA133:AA136,"=0",FQ133:FQ136),2)</f>
        <v>0</v>
      </c>
      <c r="AP138" s="2">
        <f>ROUND(AQ138,2)</f>
        <v>0</v>
      </c>
      <c r="AQ138" s="2">
        <f>ROUND(SUM(FR133:FR136),2)</f>
        <v>0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201</v>
      </c>
      <c r="F140" s="3">
        <f>Source!O138</f>
        <v>185245.9</v>
      </c>
      <c r="G140" s="3" t="s">
        <v>49</v>
      </c>
      <c r="H140" s="3" t="s">
        <v>50</v>
      </c>
      <c r="I140" s="3"/>
      <c r="J140" s="3"/>
      <c r="K140" s="3">
        <v>201</v>
      </c>
      <c r="L140" s="3">
        <v>1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202</v>
      </c>
      <c r="F141" s="3">
        <f>Source!P138</f>
        <v>167451.91</v>
      </c>
      <c r="G141" s="3" t="s">
        <v>51</v>
      </c>
      <c r="H141" s="3" t="s">
        <v>52</v>
      </c>
      <c r="I141" s="3"/>
      <c r="J141" s="3"/>
      <c r="K141" s="3">
        <v>202</v>
      </c>
      <c r="L141" s="3">
        <v>2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222</v>
      </c>
      <c r="F142" s="3">
        <f>Source!AN138</f>
        <v>0</v>
      </c>
      <c r="G142" s="3" t="s">
        <v>53</v>
      </c>
      <c r="H142" s="3" t="s">
        <v>54</v>
      </c>
      <c r="I142" s="3"/>
      <c r="J142" s="3"/>
      <c r="K142" s="3">
        <v>222</v>
      </c>
      <c r="L142" s="3">
        <v>3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216</v>
      </c>
      <c r="F143" s="3">
        <f>Source!AP138</f>
        <v>0</v>
      </c>
      <c r="G143" s="3" t="s">
        <v>55</v>
      </c>
      <c r="H143" s="3" t="s">
        <v>56</v>
      </c>
      <c r="I143" s="3"/>
      <c r="J143" s="3"/>
      <c r="K143" s="3">
        <v>216</v>
      </c>
      <c r="L143" s="3">
        <v>4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203</v>
      </c>
      <c r="F144" s="3">
        <f>Source!Q138</f>
        <v>13886.42</v>
      </c>
      <c r="G144" s="3" t="s">
        <v>57</v>
      </c>
      <c r="H144" s="3" t="s">
        <v>58</v>
      </c>
      <c r="I144" s="3"/>
      <c r="J144" s="3"/>
      <c r="K144" s="3">
        <v>203</v>
      </c>
      <c r="L144" s="3">
        <v>5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204</v>
      </c>
      <c r="F145" s="3">
        <f>Source!R138</f>
        <v>4026.91</v>
      </c>
      <c r="G145" s="3" t="s">
        <v>59</v>
      </c>
      <c r="H145" s="3" t="s">
        <v>60</v>
      </c>
      <c r="I145" s="3"/>
      <c r="J145" s="3"/>
      <c r="K145" s="3">
        <v>204</v>
      </c>
      <c r="L145" s="3">
        <v>6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205</v>
      </c>
      <c r="F146" s="3">
        <f>Source!S138</f>
        <v>3907.57</v>
      </c>
      <c r="G146" s="3" t="s">
        <v>61</v>
      </c>
      <c r="H146" s="3" t="s">
        <v>62</v>
      </c>
      <c r="I146" s="3"/>
      <c r="J146" s="3"/>
      <c r="K146" s="3">
        <v>205</v>
      </c>
      <c r="L146" s="3">
        <v>7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206</v>
      </c>
      <c r="F147" s="3">
        <f>Source!T138</f>
        <v>0</v>
      </c>
      <c r="G147" s="3" t="s">
        <v>63</v>
      </c>
      <c r="H147" s="3" t="s">
        <v>64</v>
      </c>
      <c r="I147" s="3"/>
      <c r="J147" s="3"/>
      <c r="K147" s="3">
        <v>206</v>
      </c>
      <c r="L147" s="3">
        <v>8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207</v>
      </c>
      <c r="F148" s="3">
        <f>Source!U138</f>
        <v>24.67</v>
      </c>
      <c r="G148" s="3" t="s">
        <v>65</v>
      </c>
      <c r="H148" s="3" t="s">
        <v>66</v>
      </c>
      <c r="I148" s="3"/>
      <c r="J148" s="3"/>
      <c r="K148" s="3">
        <v>207</v>
      </c>
      <c r="L148" s="3">
        <v>9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208</v>
      </c>
      <c r="F149" s="3">
        <f>Source!V138</f>
        <v>16.49</v>
      </c>
      <c r="G149" s="3" t="s">
        <v>67</v>
      </c>
      <c r="H149" s="3" t="s">
        <v>68</v>
      </c>
      <c r="I149" s="3"/>
      <c r="J149" s="3"/>
      <c r="K149" s="3">
        <v>208</v>
      </c>
      <c r="L149" s="3">
        <v>10</v>
      </c>
      <c r="M149" s="3">
        <v>3</v>
      </c>
      <c r="N149" s="3" t="s">
        <v>3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209</v>
      </c>
      <c r="F150" s="3">
        <f>Source!W138</f>
        <v>0</v>
      </c>
      <c r="G150" s="3" t="s">
        <v>69</v>
      </c>
      <c r="H150" s="3" t="s">
        <v>70</v>
      </c>
      <c r="I150" s="3"/>
      <c r="J150" s="3"/>
      <c r="K150" s="3">
        <v>209</v>
      </c>
      <c r="L150" s="3">
        <v>11</v>
      </c>
      <c r="M150" s="3">
        <v>3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210</v>
      </c>
      <c r="F151" s="3">
        <f>Source!X138</f>
        <v>9600.72</v>
      </c>
      <c r="G151" s="3" t="s">
        <v>71</v>
      </c>
      <c r="H151" s="3" t="s">
        <v>72</v>
      </c>
      <c r="I151" s="3"/>
      <c r="J151" s="3"/>
      <c r="K151" s="3">
        <v>210</v>
      </c>
      <c r="L151" s="3">
        <v>12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211</v>
      </c>
      <c r="F152" s="3">
        <f>Source!Y138</f>
        <v>5157.42</v>
      </c>
      <c r="G152" s="3" t="s">
        <v>73</v>
      </c>
      <c r="H152" s="3" t="s">
        <v>74</v>
      </c>
      <c r="I152" s="3"/>
      <c r="J152" s="3"/>
      <c r="K152" s="3">
        <v>211</v>
      </c>
      <c r="L152" s="3">
        <v>13</v>
      </c>
      <c r="M152" s="3">
        <v>3</v>
      </c>
      <c r="N152" s="3" t="s">
        <v>3</v>
      </c>
    </row>
    <row r="153" ht="12.75">
      <c r="G153">
        <v>0</v>
      </c>
    </row>
    <row r="154" spans="1:67" ht="12.75">
      <c r="A154" s="1">
        <v>4</v>
      </c>
      <c r="B154" s="1">
        <v>1</v>
      </c>
      <c r="C154" s="1"/>
      <c r="D154" s="1">
        <f>ROW(A166)</f>
        <v>166</v>
      </c>
      <c r="E154" s="1"/>
      <c r="F154" s="1" t="s">
        <v>14</v>
      </c>
      <c r="G154" s="1" t="s">
        <v>449</v>
      </c>
      <c r="H154" s="1"/>
      <c r="I154" s="1"/>
      <c r="J154" s="1"/>
      <c r="K154" s="1"/>
      <c r="L154" s="1"/>
      <c r="M154" s="1"/>
      <c r="N154" s="1" t="s">
        <v>3</v>
      </c>
      <c r="O154" s="1"/>
      <c r="P154" s="1"/>
      <c r="Q154" s="1"/>
      <c r="R154" s="1" t="s">
        <v>3</v>
      </c>
      <c r="S154" s="1" t="s">
        <v>3</v>
      </c>
      <c r="T154" s="1" t="s">
        <v>3</v>
      </c>
      <c r="U154" s="1" t="s">
        <v>3</v>
      </c>
      <c r="V154" s="1"/>
      <c r="W154" s="1"/>
      <c r="X154" s="1">
        <v>0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>
        <v>0</v>
      </c>
      <c r="AM154" s="1"/>
      <c r="AN154" s="1"/>
      <c r="AO154" s="1" t="s">
        <v>3</v>
      </c>
      <c r="AP154" s="1" t="s">
        <v>3</v>
      </c>
      <c r="AQ154" s="1" t="s">
        <v>3</v>
      </c>
      <c r="AR154" s="1"/>
      <c r="AS154" s="1"/>
      <c r="AT154" s="1" t="s">
        <v>3</v>
      </c>
      <c r="AU154" s="1" t="s">
        <v>3</v>
      </c>
      <c r="AV154" s="1" t="s">
        <v>3</v>
      </c>
      <c r="AW154" s="1" t="s">
        <v>3</v>
      </c>
      <c r="AX154" s="1" t="s">
        <v>3</v>
      </c>
      <c r="AY154" s="1" t="s">
        <v>3</v>
      </c>
      <c r="AZ154" s="1" t="s">
        <v>3</v>
      </c>
      <c r="BA154" s="1" t="s">
        <v>3</v>
      </c>
      <c r="BB154" s="1" t="s">
        <v>3</v>
      </c>
      <c r="BC154" s="1" t="s">
        <v>3</v>
      </c>
      <c r="BD154" s="1" t="s">
        <v>3</v>
      </c>
      <c r="BE154" s="1" t="s">
        <v>133</v>
      </c>
      <c r="BF154" s="1">
        <v>0</v>
      </c>
      <c r="BG154" s="1">
        <v>0</v>
      </c>
      <c r="BH154" s="1" t="s">
        <v>3</v>
      </c>
      <c r="BI154" s="1" t="s">
        <v>3</v>
      </c>
      <c r="BJ154" s="1" t="s">
        <v>3</v>
      </c>
      <c r="BK154" s="1" t="s">
        <v>3</v>
      </c>
      <c r="BL154" s="1" t="s">
        <v>3</v>
      </c>
      <c r="BM154" s="1">
        <v>0</v>
      </c>
      <c r="BN154" s="1" t="s">
        <v>3</v>
      </c>
      <c r="BO154" s="1">
        <v>0</v>
      </c>
    </row>
    <row r="156" spans="1:43" ht="12.75">
      <c r="A156" s="2">
        <v>52</v>
      </c>
      <c r="B156" s="2">
        <f aca="true" t="shared" si="68" ref="B156:AQ156">B166</f>
        <v>1</v>
      </c>
      <c r="C156" s="2">
        <f t="shared" si="68"/>
        <v>4</v>
      </c>
      <c r="D156" s="2">
        <f t="shared" si="68"/>
        <v>154</v>
      </c>
      <c r="E156" s="2">
        <f t="shared" si="68"/>
        <v>0</v>
      </c>
      <c r="F156" s="2" t="str">
        <f t="shared" si="68"/>
        <v>Новый раздел</v>
      </c>
      <c r="G156" s="2" t="str">
        <f t="shared" si="68"/>
        <v>Устройство тротуара</v>
      </c>
      <c r="H156" s="2">
        <f t="shared" si="68"/>
        <v>0</v>
      </c>
      <c r="I156" s="2">
        <f t="shared" si="68"/>
        <v>0</v>
      </c>
      <c r="J156" s="2">
        <f t="shared" si="68"/>
        <v>0</v>
      </c>
      <c r="K156" s="2">
        <f t="shared" si="68"/>
        <v>0</v>
      </c>
      <c r="L156" s="2">
        <f t="shared" si="68"/>
        <v>0</v>
      </c>
      <c r="M156" s="2">
        <f t="shared" si="68"/>
        <v>0</v>
      </c>
      <c r="N156" s="2">
        <f t="shared" si="68"/>
        <v>0</v>
      </c>
      <c r="O156" s="2">
        <f t="shared" si="68"/>
        <v>84488.07</v>
      </c>
      <c r="P156" s="2">
        <f t="shared" si="68"/>
        <v>66890</v>
      </c>
      <c r="Q156" s="2">
        <f t="shared" si="68"/>
        <v>15570.83</v>
      </c>
      <c r="R156" s="2">
        <f t="shared" si="68"/>
        <v>2615.1</v>
      </c>
      <c r="S156" s="2">
        <f t="shared" si="68"/>
        <v>2027.24</v>
      </c>
      <c r="T156" s="2">
        <f t="shared" si="68"/>
        <v>0</v>
      </c>
      <c r="U156" s="2">
        <f t="shared" si="68"/>
        <v>13.15</v>
      </c>
      <c r="V156" s="2">
        <f t="shared" si="68"/>
        <v>10.97</v>
      </c>
      <c r="W156" s="2">
        <f t="shared" si="68"/>
        <v>0</v>
      </c>
      <c r="X156" s="2">
        <f t="shared" si="68"/>
        <v>5382.96</v>
      </c>
      <c r="Y156" s="2">
        <f t="shared" si="68"/>
        <v>2835.96</v>
      </c>
      <c r="Z156" s="2">
        <f t="shared" si="68"/>
        <v>0</v>
      </c>
      <c r="AA156" s="2">
        <f t="shared" si="68"/>
        <v>0</v>
      </c>
      <c r="AB156" s="2">
        <f t="shared" si="68"/>
        <v>84488.07</v>
      </c>
      <c r="AC156" s="2">
        <f t="shared" si="68"/>
        <v>66890</v>
      </c>
      <c r="AD156" s="2">
        <f t="shared" si="68"/>
        <v>15570.83</v>
      </c>
      <c r="AE156" s="2">
        <f t="shared" si="68"/>
        <v>2615.1</v>
      </c>
      <c r="AF156" s="2">
        <f t="shared" si="68"/>
        <v>2027.24</v>
      </c>
      <c r="AG156" s="2">
        <f t="shared" si="68"/>
        <v>0</v>
      </c>
      <c r="AH156" s="2">
        <f t="shared" si="68"/>
        <v>13.15</v>
      </c>
      <c r="AI156" s="2">
        <f t="shared" si="68"/>
        <v>10.97</v>
      </c>
      <c r="AJ156" s="2">
        <f t="shared" si="68"/>
        <v>0</v>
      </c>
      <c r="AK156" s="2">
        <f t="shared" si="68"/>
        <v>5382.96</v>
      </c>
      <c r="AL156" s="2">
        <f t="shared" si="68"/>
        <v>2835.96</v>
      </c>
      <c r="AM156" s="2">
        <f t="shared" si="68"/>
        <v>0</v>
      </c>
      <c r="AN156" s="2">
        <f t="shared" si="68"/>
        <v>0</v>
      </c>
      <c r="AO156" s="2">
        <f t="shared" si="68"/>
        <v>0</v>
      </c>
      <c r="AP156" s="2">
        <f t="shared" si="68"/>
        <v>0</v>
      </c>
      <c r="AQ156" s="2">
        <f t="shared" si="68"/>
        <v>0</v>
      </c>
    </row>
    <row r="158" spans="1:193" ht="12.75">
      <c r="A158">
        <v>17</v>
      </c>
      <c r="B158">
        <v>1</v>
      </c>
      <c r="C158">
        <f>ROW(SmtRes!A130)</f>
        <v>130</v>
      </c>
      <c r="D158">
        <f>ROW(EtalonRes!A128)</f>
        <v>128</v>
      </c>
      <c r="E158" t="s">
        <v>134</v>
      </c>
      <c r="F158" t="s">
        <v>77</v>
      </c>
      <c r="G158" t="s">
        <v>78</v>
      </c>
      <c r="H158" t="s">
        <v>79</v>
      </c>
      <c r="I158">
        <v>0.04641</v>
      </c>
      <c r="J158">
        <v>0</v>
      </c>
      <c r="O158">
        <f aca="true" t="shared" si="69" ref="O158:O164">ROUND(CP158,2)</f>
        <v>1770.59</v>
      </c>
      <c r="P158">
        <f aca="true" t="shared" si="70" ref="P158:P164">ROUND(CQ158*I158,2)</f>
        <v>2.4</v>
      </c>
      <c r="Q158">
        <f aca="true" t="shared" si="71" ref="Q158:Q164">ROUND(CR158*I158,2)</f>
        <v>1671.95</v>
      </c>
      <c r="R158">
        <f aca="true" t="shared" si="72" ref="R158:R164">ROUND(CS158*I158,2)</f>
        <v>489.44</v>
      </c>
      <c r="S158">
        <f aca="true" t="shared" si="73" ref="S158:S164">ROUND(CT158*I158,2)</f>
        <v>96.24</v>
      </c>
      <c r="T158">
        <f aca="true" t="shared" si="74" ref="T158:T164">ROUND(CU158*I158,2)</f>
        <v>0</v>
      </c>
      <c r="U158">
        <f aca="true" t="shared" si="75" ref="U158:U164">CV158*I158</f>
        <v>0.6998628</v>
      </c>
      <c r="V158">
        <f aca="true" t="shared" si="76" ref="V158:V164">CW158*I158</f>
        <v>2.0244041999999998</v>
      </c>
      <c r="W158">
        <f aca="true" t="shared" si="77" ref="W158:W164">ROUND(CX158*I158,2)</f>
        <v>0</v>
      </c>
      <c r="X158">
        <f aca="true" t="shared" si="78" ref="X158:Y164">ROUND(CY158,2)</f>
        <v>474.4</v>
      </c>
      <c r="Y158">
        <f t="shared" si="78"/>
        <v>199.13</v>
      </c>
      <c r="AA158">
        <v>0</v>
      </c>
      <c r="AB158">
        <f aca="true" t="shared" si="79" ref="AB158:AB164">(AC158+AD158+AF158)</f>
        <v>4277.16</v>
      </c>
      <c r="AC158">
        <f aca="true" t="shared" si="80" ref="AC158:AF160">(ES158)</f>
        <v>4.34</v>
      </c>
      <c r="AD158">
        <f t="shared" si="80"/>
        <v>4155.2</v>
      </c>
      <c r="AE158">
        <f t="shared" si="80"/>
        <v>598.18</v>
      </c>
      <c r="AF158">
        <f t="shared" si="80"/>
        <v>117.62</v>
      </c>
      <c r="AG158">
        <f>(AP158)</f>
        <v>0</v>
      </c>
      <c r="AH158">
        <f aca="true" t="shared" si="81" ref="AH158:AI160">(EW158)</f>
        <v>15.08</v>
      </c>
      <c r="AI158">
        <f t="shared" si="81"/>
        <v>43.62</v>
      </c>
      <c r="AJ158">
        <f>(AS158)</f>
        <v>0</v>
      </c>
      <c r="AK158">
        <v>4277.16</v>
      </c>
      <c r="AL158">
        <v>4.34</v>
      </c>
      <c r="AM158">
        <v>4155.2</v>
      </c>
      <c r="AN158">
        <v>598.18</v>
      </c>
      <c r="AO158">
        <v>117.62</v>
      </c>
      <c r="AP158">
        <v>0</v>
      </c>
      <c r="AQ158">
        <v>15.08</v>
      </c>
      <c r="AR158">
        <v>43.62</v>
      </c>
      <c r="AS158">
        <v>0</v>
      </c>
      <c r="AT158">
        <v>81</v>
      </c>
      <c r="AU158">
        <v>34</v>
      </c>
      <c r="AV158">
        <v>1</v>
      </c>
      <c r="AW158">
        <v>1</v>
      </c>
      <c r="AX158">
        <v>1</v>
      </c>
      <c r="AY158">
        <v>1</v>
      </c>
      <c r="AZ158">
        <v>10.04</v>
      </c>
      <c r="BA158">
        <v>17.63</v>
      </c>
      <c r="BB158">
        <v>8.67</v>
      </c>
      <c r="BC158">
        <v>11.94</v>
      </c>
      <c r="BH158">
        <v>0</v>
      </c>
      <c r="BI158">
        <v>1</v>
      </c>
      <c r="BJ158" t="s">
        <v>80</v>
      </c>
      <c r="BM158">
        <v>1</v>
      </c>
      <c r="BN158">
        <v>0</v>
      </c>
      <c r="BO158" t="s">
        <v>77</v>
      </c>
      <c r="BP158">
        <v>1</v>
      </c>
      <c r="BQ158">
        <v>2</v>
      </c>
      <c r="BR158">
        <v>0</v>
      </c>
      <c r="BS158">
        <v>17.63</v>
      </c>
      <c r="BT158">
        <v>1</v>
      </c>
      <c r="BU158">
        <v>1</v>
      </c>
      <c r="BV158">
        <v>1</v>
      </c>
      <c r="BW158">
        <v>1</v>
      </c>
      <c r="BX158">
        <v>1</v>
      </c>
      <c r="BZ158">
        <v>95</v>
      </c>
      <c r="CA158">
        <v>50</v>
      </c>
      <c r="CF158">
        <v>0</v>
      </c>
      <c r="CG158">
        <v>0</v>
      </c>
      <c r="CM158">
        <v>0</v>
      </c>
      <c r="CO158">
        <v>0</v>
      </c>
      <c r="CP158">
        <f aca="true" t="shared" si="82" ref="CP158:CP164">(P158+Q158+S158)</f>
        <v>1770.5900000000001</v>
      </c>
      <c r="CQ158">
        <f aca="true" t="shared" si="83" ref="CQ158:CQ164">(AC158)*BC158</f>
        <v>51.819599999999994</v>
      </c>
      <c r="CR158">
        <f aca="true" t="shared" si="84" ref="CR158:CR164">(AD158)*BB158</f>
        <v>36025.583999999995</v>
      </c>
      <c r="CS158">
        <f aca="true" t="shared" si="85" ref="CS158:CS164">(AE158)*BS158</f>
        <v>10545.913399999998</v>
      </c>
      <c r="CT158">
        <f aca="true" t="shared" si="86" ref="CT158:CT164">(AF158)*BA158</f>
        <v>2073.6406</v>
      </c>
      <c r="CU158">
        <f aca="true" t="shared" si="87" ref="CU158:CX164">(AG158)*BT158</f>
        <v>0</v>
      </c>
      <c r="CV158">
        <f t="shared" si="87"/>
        <v>15.08</v>
      </c>
      <c r="CW158">
        <f t="shared" si="87"/>
        <v>43.62</v>
      </c>
      <c r="CX158">
        <f t="shared" si="87"/>
        <v>0</v>
      </c>
      <c r="CY158">
        <f aca="true" t="shared" si="88" ref="CY158:CY164">((S158+R158)*(ROUND((FX158*IF(1,(IF(0,0.94,0.85)*IF(0,0.85,1)),1)),IF(1,0,2))/100))</f>
        <v>474.4008</v>
      </c>
      <c r="CZ158">
        <f aca="true" t="shared" si="89" ref="CZ158:CZ164">((S158+R158)*(ROUND((FY158*IF(1,0.8,1)),IF(1,0,2))/100))</f>
        <v>199.1312</v>
      </c>
      <c r="DN158">
        <v>0</v>
      </c>
      <c r="DO158">
        <v>0</v>
      </c>
      <c r="DP158">
        <v>1</v>
      </c>
      <c r="DQ158">
        <v>1</v>
      </c>
      <c r="DR158">
        <v>1</v>
      </c>
      <c r="DS158">
        <v>1</v>
      </c>
      <c r="DT158">
        <v>1</v>
      </c>
      <c r="DU158">
        <v>1007</v>
      </c>
      <c r="DV158" t="s">
        <v>79</v>
      </c>
      <c r="DW158" t="s">
        <v>81</v>
      </c>
      <c r="DX158">
        <v>1000</v>
      </c>
      <c r="EE158">
        <v>26532776</v>
      </c>
      <c r="EF158">
        <v>2</v>
      </c>
      <c r="EG158" t="s">
        <v>22</v>
      </c>
      <c r="EH158">
        <v>0</v>
      </c>
      <c r="EJ158">
        <v>1</v>
      </c>
      <c r="EK158">
        <v>1</v>
      </c>
      <c r="EL158" t="s">
        <v>82</v>
      </c>
      <c r="EM158" t="s">
        <v>83</v>
      </c>
      <c r="EQ158">
        <v>0</v>
      </c>
      <c r="ER158">
        <v>4277.16</v>
      </c>
      <c r="ES158">
        <v>4.34</v>
      </c>
      <c r="ET158">
        <v>4155.2</v>
      </c>
      <c r="EU158">
        <v>598.18</v>
      </c>
      <c r="EV158">
        <v>117.62</v>
      </c>
      <c r="EW158">
        <v>15.08</v>
      </c>
      <c r="EX158">
        <v>43.62</v>
      </c>
      <c r="EY158">
        <v>0</v>
      </c>
      <c r="EZ158">
        <v>0</v>
      </c>
      <c r="FQ158">
        <v>0</v>
      </c>
      <c r="FR158">
        <f aca="true" t="shared" si="90" ref="FR158:FR164">ROUND(IF(AND(AA158=0,BI158=3),P158,0),2)</f>
        <v>0</v>
      </c>
      <c r="FS158">
        <v>0</v>
      </c>
      <c r="FU158" t="s">
        <v>25</v>
      </c>
      <c r="FV158" t="s">
        <v>26</v>
      </c>
      <c r="FW158" t="s">
        <v>27</v>
      </c>
      <c r="FX158">
        <v>95</v>
      </c>
      <c r="FY158">
        <v>42.5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</row>
    <row r="159" spans="1:193" ht="12.75">
      <c r="A159">
        <v>17</v>
      </c>
      <c r="B159">
        <v>1</v>
      </c>
      <c r="E159" t="s">
        <v>135</v>
      </c>
      <c r="F159" t="s">
        <v>85</v>
      </c>
      <c r="G159" t="s">
        <v>86</v>
      </c>
      <c r="H159" t="s">
        <v>87</v>
      </c>
      <c r="I159">
        <v>81</v>
      </c>
      <c r="J159">
        <v>0</v>
      </c>
      <c r="O159">
        <f t="shared" si="69"/>
        <v>6304.36</v>
      </c>
      <c r="P159">
        <f t="shared" si="70"/>
        <v>0</v>
      </c>
      <c r="Q159">
        <f t="shared" si="71"/>
        <v>6304.36</v>
      </c>
      <c r="R159">
        <f t="shared" si="72"/>
        <v>0</v>
      </c>
      <c r="S159">
        <f t="shared" si="73"/>
        <v>0</v>
      </c>
      <c r="T159">
        <f t="shared" si="74"/>
        <v>0</v>
      </c>
      <c r="U159">
        <f t="shared" si="75"/>
        <v>0</v>
      </c>
      <c r="V159">
        <f t="shared" si="76"/>
        <v>0</v>
      </c>
      <c r="W159">
        <f t="shared" si="77"/>
        <v>0</v>
      </c>
      <c r="X159">
        <f t="shared" si="78"/>
        <v>0</v>
      </c>
      <c r="Y159">
        <f t="shared" si="78"/>
        <v>0</v>
      </c>
      <c r="AA159">
        <v>0</v>
      </c>
      <c r="AB159">
        <f t="shared" si="79"/>
        <v>14.63</v>
      </c>
      <c r="AC159">
        <f t="shared" si="80"/>
        <v>0</v>
      </c>
      <c r="AD159">
        <f t="shared" si="80"/>
        <v>14.63</v>
      </c>
      <c r="AE159">
        <f t="shared" si="80"/>
        <v>0</v>
      </c>
      <c r="AF159">
        <f t="shared" si="80"/>
        <v>0</v>
      </c>
      <c r="AG159">
        <f>(AP159)</f>
        <v>0</v>
      </c>
      <c r="AH159">
        <f t="shared" si="81"/>
        <v>0</v>
      </c>
      <c r="AI159">
        <f t="shared" si="81"/>
        <v>0</v>
      </c>
      <c r="AJ159">
        <f>(AS159)</f>
        <v>0</v>
      </c>
      <c r="AK159">
        <v>14.63</v>
      </c>
      <c r="AL159">
        <v>0</v>
      </c>
      <c r="AM159">
        <v>14.63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85</v>
      </c>
      <c r="AU159">
        <v>41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5.32</v>
      </c>
      <c r="BC159">
        <v>1</v>
      </c>
      <c r="BH159">
        <v>3</v>
      </c>
      <c r="BI159">
        <v>4</v>
      </c>
      <c r="BM159">
        <v>0</v>
      </c>
      <c r="BN159">
        <v>0</v>
      </c>
      <c r="BP159">
        <v>0</v>
      </c>
      <c r="BQ159">
        <v>1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Z159">
        <v>100</v>
      </c>
      <c r="CA159">
        <v>60</v>
      </c>
      <c r="CF159">
        <v>0</v>
      </c>
      <c r="CG159">
        <v>0</v>
      </c>
      <c r="CM159">
        <v>0</v>
      </c>
      <c r="CO159">
        <v>0</v>
      </c>
      <c r="CP159">
        <f t="shared" si="82"/>
        <v>6304.36</v>
      </c>
      <c r="CQ159">
        <f t="shared" si="83"/>
        <v>0</v>
      </c>
      <c r="CR159">
        <f t="shared" si="84"/>
        <v>77.83160000000001</v>
      </c>
      <c r="CS159">
        <f t="shared" si="85"/>
        <v>0</v>
      </c>
      <c r="CT159">
        <f t="shared" si="86"/>
        <v>0</v>
      </c>
      <c r="CU159">
        <f t="shared" si="87"/>
        <v>0</v>
      </c>
      <c r="CV159">
        <f t="shared" si="87"/>
        <v>0</v>
      </c>
      <c r="CW159">
        <f t="shared" si="87"/>
        <v>0</v>
      </c>
      <c r="CX159">
        <f t="shared" si="87"/>
        <v>0</v>
      </c>
      <c r="CY159">
        <f t="shared" si="88"/>
        <v>0</v>
      </c>
      <c r="CZ159">
        <f t="shared" si="89"/>
        <v>0</v>
      </c>
      <c r="DN159">
        <v>0</v>
      </c>
      <c r="DO159">
        <v>0</v>
      </c>
      <c r="DP159">
        <v>1</v>
      </c>
      <c r="DQ159">
        <v>1</v>
      </c>
      <c r="DR159">
        <v>1</v>
      </c>
      <c r="DS159">
        <v>1</v>
      </c>
      <c r="DT159">
        <v>1</v>
      </c>
      <c r="DU159">
        <v>1009</v>
      </c>
      <c r="DV159" t="s">
        <v>87</v>
      </c>
      <c r="DW159" t="s">
        <v>87</v>
      </c>
      <c r="DX159">
        <v>1000</v>
      </c>
      <c r="EE159">
        <v>26532575</v>
      </c>
      <c r="EF159">
        <v>1</v>
      </c>
      <c r="EG159" t="s">
        <v>88</v>
      </c>
      <c r="EH159">
        <v>0</v>
      </c>
      <c r="EJ159">
        <v>4</v>
      </c>
      <c r="EK159">
        <v>0</v>
      </c>
      <c r="EL159" t="s">
        <v>88</v>
      </c>
      <c r="EM159" t="s">
        <v>89</v>
      </c>
      <c r="EQ159">
        <v>0</v>
      </c>
      <c r="ER159">
        <v>0</v>
      </c>
      <c r="ES159">
        <v>0</v>
      </c>
      <c r="ET159">
        <v>14.63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Q159">
        <v>0</v>
      </c>
      <c r="FR159">
        <f t="shared" si="90"/>
        <v>0</v>
      </c>
      <c r="FS159">
        <v>0</v>
      </c>
      <c r="FU159" t="s">
        <v>25</v>
      </c>
      <c r="FV159" t="s">
        <v>26</v>
      </c>
      <c r="FW159" t="s">
        <v>27</v>
      </c>
      <c r="FX159">
        <v>100</v>
      </c>
      <c r="FY159">
        <v>51</v>
      </c>
      <c r="GA159">
        <v>14.63</v>
      </c>
      <c r="GB159">
        <v>0</v>
      </c>
      <c r="GC159">
        <v>14.63</v>
      </c>
      <c r="GD159">
        <v>0</v>
      </c>
      <c r="GE159">
        <v>0</v>
      </c>
      <c r="GF159">
        <v>14.63</v>
      </c>
      <c r="GG159">
        <v>0</v>
      </c>
      <c r="GH159">
        <v>14.63</v>
      </c>
      <c r="GI159">
        <v>0</v>
      </c>
      <c r="GJ159">
        <v>0</v>
      </c>
      <c r="GK159">
        <v>1</v>
      </c>
    </row>
    <row r="160" spans="1:193" ht="12.75">
      <c r="A160">
        <v>17</v>
      </c>
      <c r="B160">
        <v>1</v>
      </c>
      <c r="C160">
        <f>ROW(SmtRes!A138)</f>
        <v>138</v>
      </c>
      <c r="D160">
        <f>ROW(EtalonRes!A136)</f>
        <v>136</v>
      </c>
      <c r="E160" t="s">
        <v>136</v>
      </c>
      <c r="F160" t="s">
        <v>91</v>
      </c>
      <c r="G160" t="s">
        <v>92</v>
      </c>
      <c r="H160" t="s">
        <v>93</v>
      </c>
      <c r="I160">
        <v>0.2652</v>
      </c>
      <c r="J160">
        <v>0</v>
      </c>
      <c r="O160">
        <f t="shared" si="69"/>
        <v>3969.39</v>
      </c>
      <c r="P160">
        <f t="shared" si="70"/>
        <v>16.02</v>
      </c>
      <c r="Q160">
        <f t="shared" si="71"/>
        <v>3356.91</v>
      </c>
      <c r="R160">
        <f t="shared" si="72"/>
        <v>839.92</v>
      </c>
      <c r="S160">
        <f t="shared" si="73"/>
        <v>596.46</v>
      </c>
      <c r="T160">
        <f t="shared" si="74"/>
        <v>0</v>
      </c>
      <c r="U160">
        <f t="shared" si="75"/>
        <v>4.168944</v>
      </c>
      <c r="V160">
        <f t="shared" si="76"/>
        <v>3.6809760000000002</v>
      </c>
      <c r="W160">
        <f t="shared" si="77"/>
        <v>0</v>
      </c>
      <c r="X160">
        <f t="shared" si="78"/>
        <v>1738.02</v>
      </c>
      <c r="Y160">
        <f t="shared" si="78"/>
        <v>933.65</v>
      </c>
      <c r="AA160">
        <v>0</v>
      </c>
      <c r="AB160">
        <f t="shared" si="79"/>
        <v>2324.46</v>
      </c>
      <c r="AC160">
        <f t="shared" si="80"/>
        <v>12.2</v>
      </c>
      <c r="AD160">
        <f t="shared" si="80"/>
        <v>2186.19</v>
      </c>
      <c r="AE160">
        <f t="shared" si="80"/>
        <v>177.53</v>
      </c>
      <c r="AF160">
        <f t="shared" si="80"/>
        <v>126.07</v>
      </c>
      <c r="AG160">
        <f>(AP160)</f>
        <v>0</v>
      </c>
      <c r="AH160">
        <f t="shared" si="81"/>
        <v>15.72</v>
      </c>
      <c r="AI160">
        <f t="shared" si="81"/>
        <v>13.88</v>
      </c>
      <c r="AJ160">
        <f>(AS160)</f>
        <v>0</v>
      </c>
      <c r="AK160">
        <v>2324.46</v>
      </c>
      <c r="AL160">
        <v>12.2</v>
      </c>
      <c r="AM160">
        <v>2186.19</v>
      </c>
      <c r="AN160">
        <v>177.53</v>
      </c>
      <c r="AO160">
        <v>126.07</v>
      </c>
      <c r="AP160">
        <v>0</v>
      </c>
      <c r="AQ160">
        <v>15.72</v>
      </c>
      <c r="AR160">
        <v>13.88</v>
      </c>
      <c r="AS160">
        <v>0</v>
      </c>
      <c r="AT160">
        <v>121</v>
      </c>
      <c r="AU160">
        <v>65</v>
      </c>
      <c r="AV160">
        <v>1</v>
      </c>
      <c r="AW160">
        <v>1</v>
      </c>
      <c r="AX160">
        <v>1</v>
      </c>
      <c r="AY160">
        <v>1</v>
      </c>
      <c r="AZ160">
        <v>8.43</v>
      </c>
      <c r="BA160">
        <v>17.84</v>
      </c>
      <c r="BB160">
        <v>5.79</v>
      </c>
      <c r="BC160">
        <v>4.95</v>
      </c>
      <c r="BH160">
        <v>0</v>
      </c>
      <c r="BI160">
        <v>1</v>
      </c>
      <c r="BJ160" t="s">
        <v>94</v>
      </c>
      <c r="BM160">
        <v>27001</v>
      </c>
      <c r="BN160">
        <v>0</v>
      </c>
      <c r="BO160" t="s">
        <v>91</v>
      </c>
      <c r="BP160">
        <v>1</v>
      </c>
      <c r="BQ160">
        <v>2</v>
      </c>
      <c r="BR160">
        <v>0</v>
      </c>
      <c r="BS160">
        <v>17.84</v>
      </c>
      <c r="BT160">
        <v>1</v>
      </c>
      <c r="BU160">
        <v>1</v>
      </c>
      <c r="BV160">
        <v>1</v>
      </c>
      <c r="BW160">
        <v>1</v>
      </c>
      <c r="BX160">
        <v>1</v>
      </c>
      <c r="BZ160">
        <v>142</v>
      </c>
      <c r="CA160">
        <v>95</v>
      </c>
      <c r="CF160">
        <v>0</v>
      </c>
      <c r="CG160">
        <v>0</v>
      </c>
      <c r="CM160">
        <v>0</v>
      </c>
      <c r="CO160">
        <v>0</v>
      </c>
      <c r="CP160">
        <f t="shared" si="82"/>
        <v>3969.39</v>
      </c>
      <c r="CQ160">
        <f t="shared" si="83"/>
        <v>60.39</v>
      </c>
      <c r="CR160">
        <f t="shared" si="84"/>
        <v>12658.0401</v>
      </c>
      <c r="CS160">
        <f t="shared" si="85"/>
        <v>3167.1352</v>
      </c>
      <c r="CT160">
        <f t="shared" si="86"/>
        <v>2249.0888</v>
      </c>
      <c r="CU160">
        <f t="shared" si="87"/>
        <v>0</v>
      </c>
      <c r="CV160">
        <f t="shared" si="87"/>
        <v>15.72</v>
      </c>
      <c r="CW160">
        <f t="shared" si="87"/>
        <v>13.88</v>
      </c>
      <c r="CX160">
        <f t="shared" si="87"/>
        <v>0</v>
      </c>
      <c r="CY160">
        <f t="shared" si="88"/>
        <v>1738.0198</v>
      </c>
      <c r="CZ160">
        <f t="shared" si="89"/>
        <v>933.647</v>
      </c>
      <c r="DN160">
        <v>0</v>
      </c>
      <c r="DO160">
        <v>0</v>
      </c>
      <c r="DP160">
        <v>1</v>
      </c>
      <c r="DQ160">
        <v>1</v>
      </c>
      <c r="DR160">
        <v>1</v>
      </c>
      <c r="DS160">
        <v>1</v>
      </c>
      <c r="DT160">
        <v>1</v>
      </c>
      <c r="DU160">
        <v>1007</v>
      </c>
      <c r="DV160" t="s">
        <v>93</v>
      </c>
      <c r="DW160" t="s">
        <v>95</v>
      </c>
      <c r="DX160">
        <v>100</v>
      </c>
      <c r="EE160">
        <v>26532675</v>
      </c>
      <c r="EF160">
        <v>2</v>
      </c>
      <c r="EG160" t="s">
        <v>22</v>
      </c>
      <c r="EH160">
        <v>0</v>
      </c>
      <c r="EJ160">
        <v>1</v>
      </c>
      <c r="EK160">
        <v>27001</v>
      </c>
      <c r="EL160" t="s">
        <v>23</v>
      </c>
      <c r="EM160" t="s">
        <v>24</v>
      </c>
      <c r="EQ160">
        <v>0</v>
      </c>
      <c r="ER160">
        <v>2324.46</v>
      </c>
      <c r="ES160">
        <v>12.2</v>
      </c>
      <c r="ET160">
        <v>2186.19</v>
      </c>
      <c r="EU160">
        <v>177.53</v>
      </c>
      <c r="EV160">
        <v>126.07</v>
      </c>
      <c r="EW160">
        <v>15.72</v>
      </c>
      <c r="EX160">
        <v>13.88</v>
      </c>
      <c r="EY160">
        <v>0</v>
      </c>
      <c r="EZ160">
        <v>0</v>
      </c>
      <c r="FQ160">
        <v>0</v>
      </c>
      <c r="FR160">
        <f t="shared" si="90"/>
        <v>0</v>
      </c>
      <c r="FS160">
        <v>0</v>
      </c>
      <c r="FU160" t="s">
        <v>25</v>
      </c>
      <c r="FV160" t="s">
        <v>26</v>
      </c>
      <c r="FW160" t="s">
        <v>27</v>
      </c>
      <c r="FX160">
        <v>142</v>
      </c>
      <c r="FY160">
        <v>80.75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</row>
    <row r="161" spans="1:193" ht="12.75">
      <c r="A161">
        <v>18</v>
      </c>
      <c r="B161">
        <v>1</v>
      </c>
      <c r="C161">
        <v>137</v>
      </c>
      <c r="E161" t="s">
        <v>137</v>
      </c>
      <c r="F161" t="s">
        <v>97</v>
      </c>
      <c r="G161" t="s">
        <v>98</v>
      </c>
      <c r="H161" t="s">
        <v>99</v>
      </c>
      <c r="I161">
        <f>I160*J161</f>
        <v>29.172</v>
      </c>
      <c r="J161">
        <v>110</v>
      </c>
      <c r="O161">
        <f t="shared" si="69"/>
        <v>14911.41</v>
      </c>
      <c r="P161">
        <f t="shared" si="70"/>
        <v>14911.41</v>
      </c>
      <c r="Q161">
        <f t="shared" si="71"/>
        <v>0</v>
      </c>
      <c r="R161">
        <f t="shared" si="72"/>
        <v>0</v>
      </c>
      <c r="S161">
        <f t="shared" si="73"/>
        <v>0</v>
      </c>
      <c r="T161">
        <f t="shared" si="74"/>
        <v>0</v>
      </c>
      <c r="U161">
        <f t="shared" si="75"/>
        <v>0</v>
      </c>
      <c r="V161">
        <f t="shared" si="76"/>
        <v>0</v>
      </c>
      <c r="W161">
        <f t="shared" si="77"/>
        <v>0</v>
      </c>
      <c r="X161">
        <f t="shared" si="78"/>
        <v>0</v>
      </c>
      <c r="Y161">
        <f t="shared" si="78"/>
        <v>0</v>
      </c>
      <c r="AA161">
        <v>0</v>
      </c>
      <c r="AB161">
        <f t="shared" si="79"/>
        <v>55.26</v>
      </c>
      <c r="AC161">
        <f aca="true" t="shared" si="91" ref="AC161:AJ161">AL161</f>
        <v>55.26</v>
      </c>
      <c r="AD161">
        <f t="shared" si="91"/>
        <v>0</v>
      </c>
      <c r="AE161">
        <f t="shared" si="91"/>
        <v>0</v>
      </c>
      <c r="AF161">
        <f t="shared" si="91"/>
        <v>0</v>
      </c>
      <c r="AG161">
        <f t="shared" si="91"/>
        <v>0</v>
      </c>
      <c r="AH161">
        <f t="shared" si="91"/>
        <v>0</v>
      </c>
      <c r="AI161">
        <f t="shared" si="91"/>
        <v>0</v>
      </c>
      <c r="AJ161">
        <f t="shared" si="91"/>
        <v>0</v>
      </c>
      <c r="AK161">
        <v>55.26</v>
      </c>
      <c r="AL161">
        <v>55.26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121</v>
      </c>
      <c r="AU161">
        <v>65</v>
      </c>
      <c r="AV161">
        <v>1</v>
      </c>
      <c r="AW161">
        <v>1</v>
      </c>
      <c r="AX161">
        <v>1</v>
      </c>
      <c r="AY161">
        <v>1</v>
      </c>
      <c r="AZ161">
        <v>1</v>
      </c>
      <c r="BA161">
        <v>1</v>
      </c>
      <c r="BB161">
        <v>1</v>
      </c>
      <c r="BC161">
        <v>9.25</v>
      </c>
      <c r="BH161">
        <v>3</v>
      </c>
      <c r="BI161">
        <v>1</v>
      </c>
      <c r="BJ161" t="s">
        <v>100</v>
      </c>
      <c r="BM161">
        <v>27001</v>
      </c>
      <c r="BN161">
        <v>0</v>
      </c>
      <c r="BO161" t="s">
        <v>97</v>
      </c>
      <c r="BP161">
        <v>1</v>
      </c>
      <c r="BQ161">
        <v>2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Z161">
        <v>142</v>
      </c>
      <c r="CA161">
        <v>95</v>
      </c>
      <c r="CF161">
        <v>0</v>
      </c>
      <c r="CG161">
        <v>0</v>
      </c>
      <c r="CM161">
        <v>0</v>
      </c>
      <c r="CO161">
        <v>0</v>
      </c>
      <c r="CP161">
        <f t="shared" si="82"/>
        <v>14911.41</v>
      </c>
      <c r="CQ161">
        <f t="shared" si="83"/>
        <v>511.155</v>
      </c>
      <c r="CR161">
        <f t="shared" si="84"/>
        <v>0</v>
      </c>
      <c r="CS161">
        <f t="shared" si="85"/>
        <v>0</v>
      </c>
      <c r="CT161">
        <f t="shared" si="86"/>
        <v>0</v>
      </c>
      <c r="CU161">
        <f t="shared" si="87"/>
        <v>0</v>
      </c>
      <c r="CV161">
        <f t="shared" si="87"/>
        <v>0</v>
      </c>
      <c r="CW161">
        <f t="shared" si="87"/>
        <v>0</v>
      </c>
      <c r="CX161">
        <f t="shared" si="87"/>
        <v>0</v>
      </c>
      <c r="CY161">
        <f t="shared" si="88"/>
        <v>0</v>
      </c>
      <c r="CZ161">
        <f t="shared" si="89"/>
        <v>0</v>
      </c>
      <c r="DN161">
        <v>0</v>
      </c>
      <c r="DO161">
        <v>0</v>
      </c>
      <c r="DP161">
        <v>1</v>
      </c>
      <c r="DQ161">
        <v>1</v>
      </c>
      <c r="DR161">
        <v>1</v>
      </c>
      <c r="DS161">
        <v>1</v>
      </c>
      <c r="DT161">
        <v>1</v>
      </c>
      <c r="DU161">
        <v>1007</v>
      </c>
      <c r="DV161" t="s">
        <v>99</v>
      </c>
      <c r="DW161" t="s">
        <v>99</v>
      </c>
      <c r="DX161">
        <v>1</v>
      </c>
      <c r="EE161">
        <v>26532675</v>
      </c>
      <c r="EF161">
        <v>2</v>
      </c>
      <c r="EG161" t="s">
        <v>22</v>
      </c>
      <c r="EH161">
        <v>0</v>
      </c>
      <c r="EJ161">
        <v>1</v>
      </c>
      <c r="EK161">
        <v>27001</v>
      </c>
      <c r="EL161" t="s">
        <v>23</v>
      </c>
      <c r="EM161" t="s">
        <v>24</v>
      </c>
      <c r="EQ161">
        <v>0</v>
      </c>
      <c r="ER161">
        <v>55.26</v>
      </c>
      <c r="ES161">
        <v>55.26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0</v>
      </c>
      <c r="FQ161">
        <v>0</v>
      </c>
      <c r="FR161">
        <f t="shared" si="90"/>
        <v>0</v>
      </c>
      <c r="FS161">
        <v>0</v>
      </c>
      <c r="FU161" t="s">
        <v>25</v>
      </c>
      <c r="FV161" t="s">
        <v>26</v>
      </c>
      <c r="FW161" t="s">
        <v>27</v>
      </c>
      <c r="FX161">
        <v>142</v>
      </c>
      <c r="FY161">
        <v>80.75</v>
      </c>
      <c r="GA161">
        <v>55.26</v>
      </c>
      <c r="GB161">
        <v>55.26</v>
      </c>
      <c r="GC161">
        <v>0</v>
      </c>
      <c r="GD161">
        <v>0</v>
      </c>
      <c r="GE161">
        <v>0</v>
      </c>
      <c r="GF161">
        <v>55.26</v>
      </c>
      <c r="GG161">
        <v>55.26</v>
      </c>
      <c r="GH161">
        <v>0</v>
      </c>
      <c r="GI161">
        <v>0</v>
      </c>
      <c r="GJ161">
        <v>0</v>
      </c>
      <c r="GK161">
        <v>0</v>
      </c>
    </row>
    <row r="162" spans="1:193" ht="12.75">
      <c r="A162">
        <v>17</v>
      </c>
      <c r="B162">
        <v>1</v>
      </c>
      <c r="C162">
        <f>ROW(SmtRes!A147)</f>
        <v>147</v>
      </c>
      <c r="D162">
        <f>ROW(EtalonRes!A145)</f>
        <v>145</v>
      </c>
      <c r="E162" t="s">
        <v>138</v>
      </c>
      <c r="F162" t="s">
        <v>102</v>
      </c>
      <c r="G162" t="s">
        <v>103</v>
      </c>
      <c r="H162" t="s">
        <v>93</v>
      </c>
      <c r="I162">
        <v>0.1326</v>
      </c>
      <c r="J162">
        <v>0</v>
      </c>
      <c r="O162">
        <f t="shared" si="69"/>
        <v>3151.85</v>
      </c>
      <c r="P162">
        <f t="shared" si="70"/>
        <v>11.21</v>
      </c>
      <c r="Q162">
        <f t="shared" si="71"/>
        <v>2677.7</v>
      </c>
      <c r="R162">
        <f t="shared" si="72"/>
        <v>664.68</v>
      </c>
      <c r="S162">
        <f t="shared" si="73"/>
        <v>462.94</v>
      </c>
      <c r="T162">
        <f t="shared" si="74"/>
        <v>0</v>
      </c>
      <c r="U162">
        <f t="shared" si="75"/>
        <v>3.2075940000000003</v>
      </c>
      <c r="V162">
        <f t="shared" si="76"/>
        <v>2.73156</v>
      </c>
      <c r="W162">
        <f t="shared" si="77"/>
        <v>0</v>
      </c>
      <c r="X162">
        <f t="shared" si="78"/>
        <v>1364.42</v>
      </c>
      <c r="Y162">
        <f t="shared" si="78"/>
        <v>732.95</v>
      </c>
      <c r="AA162">
        <v>0</v>
      </c>
      <c r="AB162">
        <f t="shared" si="79"/>
        <v>3578.4199999999996</v>
      </c>
      <c r="AC162">
        <f>(ES162)</f>
        <v>17.08</v>
      </c>
      <c r="AD162">
        <f>(ET162)</f>
        <v>3365.64</v>
      </c>
      <c r="AE162">
        <f>(EU162)</f>
        <v>280.98</v>
      </c>
      <c r="AF162">
        <f>(EV162)</f>
        <v>195.7</v>
      </c>
      <c r="AG162">
        <f>(AP162)</f>
        <v>0</v>
      </c>
      <c r="AH162">
        <f>(EW162)</f>
        <v>24.19</v>
      </c>
      <c r="AI162">
        <f>(EX162)</f>
        <v>20.6</v>
      </c>
      <c r="AJ162">
        <f>(AS162)</f>
        <v>0</v>
      </c>
      <c r="AK162">
        <v>3578.4199999999996</v>
      </c>
      <c r="AL162">
        <v>17.08</v>
      </c>
      <c r="AM162">
        <v>3365.64</v>
      </c>
      <c r="AN162">
        <v>280.98</v>
      </c>
      <c r="AO162">
        <v>195.7</v>
      </c>
      <c r="AP162">
        <v>0</v>
      </c>
      <c r="AQ162">
        <v>24.19</v>
      </c>
      <c r="AR162">
        <v>20.6</v>
      </c>
      <c r="AS162">
        <v>0</v>
      </c>
      <c r="AT162">
        <v>121</v>
      </c>
      <c r="AU162">
        <v>65</v>
      </c>
      <c r="AV162">
        <v>1</v>
      </c>
      <c r="AW162">
        <v>1</v>
      </c>
      <c r="AX162">
        <v>1</v>
      </c>
      <c r="AY162">
        <v>1</v>
      </c>
      <c r="AZ162">
        <v>8.6</v>
      </c>
      <c r="BA162">
        <v>17.84</v>
      </c>
      <c r="BB162">
        <v>6</v>
      </c>
      <c r="BC162">
        <v>4.95</v>
      </c>
      <c r="BH162">
        <v>0</v>
      </c>
      <c r="BI162">
        <v>1</v>
      </c>
      <c r="BJ162" t="s">
        <v>104</v>
      </c>
      <c r="BM162">
        <v>27001</v>
      </c>
      <c r="BN162">
        <v>0</v>
      </c>
      <c r="BO162" t="s">
        <v>102</v>
      </c>
      <c r="BP162">
        <v>1</v>
      </c>
      <c r="BQ162">
        <v>2</v>
      </c>
      <c r="BR162">
        <v>0</v>
      </c>
      <c r="BS162">
        <v>17.84</v>
      </c>
      <c r="BT162">
        <v>1</v>
      </c>
      <c r="BU162">
        <v>1</v>
      </c>
      <c r="BV162">
        <v>1</v>
      </c>
      <c r="BW162">
        <v>1</v>
      </c>
      <c r="BX162">
        <v>1</v>
      </c>
      <c r="BZ162">
        <v>142</v>
      </c>
      <c r="CA162">
        <v>95</v>
      </c>
      <c r="CF162">
        <v>0</v>
      </c>
      <c r="CG162">
        <v>0</v>
      </c>
      <c r="CM162">
        <v>0</v>
      </c>
      <c r="CO162">
        <v>0</v>
      </c>
      <c r="CP162">
        <f t="shared" si="82"/>
        <v>3151.85</v>
      </c>
      <c r="CQ162">
        <f t="shared" si="83"/>
        <v>84.54599999999999</v>
      </c>
      <c r="CR162">
        <f t="shared" si="84"/>
        <v>20193.84</v>
      </c>
      <c r="CS162">
        <f t="shared" si="85"/>
        <v>5012.6832</v>
      </c>
      <c r="CT162">
        <f t="shared" si="86"/>
        <v>3491.2879999999996</v>
      </c>
      <c r="CU162">
        <f t="shared" si="87"/>
        <v>0</v>
      </c>
      <c r="CV162">
        <f t="shared" si="87"/>
        <v>24.19</v>
      </c>
      <c r="CW162">
        <f t="shared" si="87"/>
        <v>20.6</v>
      </c>
      <c r="CX162">
        <f t="shared" si="87"/>
        <v>0</v>
      </c>
      <c r="CY162">
        <f t="shared" si="88"/>
        <v>1364.4201999999998</v>
      </c>
      <c r="CZ162">
        <f t="shared" si="89"/>
        <v>732.953</v>
      </c>
      <c r="DN162">
        <v>0</v>
      </c>
      <c r="DO162">
        <v>0</v>
      </c>
      <c r="DP162">
        <v>1</v>
      </c>
      <c r="DQ162">
        <v>1</v>
      </c>
      <c r="DR162">
        <v>1</v>
      </c>
      <c r="DS162">
        <v>1</v>
      </c>
      <c r="DT162">
        <v>1</v>
      </c>
      <c r="DU162">
        <v>1007</v>
      </c>
      <c r="DV162" t="s">
        <v>93</v>
      </c>
      <c r="DW162" t="s">
        <v>95</v>
      </c>
      <c r="DX162">
        <v>100</v>
      </c>
      <c r="EE162">
        <v>26532675</v>
      </c>
      <c r="EF162">
        <v>2</v>
      </c>
      <c r="EG162" t="s">
        <v>22</v>
      </c>
      <c r="EH162">
        <v>0</v>
      </c>
      <c r="EJ162">
        <v>1</v>
      </c>
      <c r="EK162">
        <v>27001</v>
      </c>
      <c r="EL162" t="s">
        <v>23</v>
      </c>
      <c r="EM162" t="s">
        <v>24</v>
      </c>
      <c r="EQ162">
        <v>0</v>
      </c>
      <c r="ER162">
        <v>3578.42</v>
      </c>
      <c r="ES162">
        <v>17.08</v>
      </c>
      <c r="ET162">
        <v>3365.64</v>
      </c>
      <c r="EU162">
        <v>280.98</v>
      </c>
      <c r="EV162">
        <v>195.7</v>
      </c>
      <c r="EW162">
        <v>24.19</v>
      </c>
      <c r="EX162">
        <v>20.6</v>
      </c>
      <c r="EY162">
        <v>0</v>
      </c>
      <c r="EZ162">
        <v>0</v>
      </c>
      <c r="FQ162">
        <v>0</v>
      </c>
      <c r="FR162">
        <f t="shared" si="90"/>
        <v>0</v>
      </c>
      <c r="FS162">
        <v>0</v>
      </c>
      <c r="FU162" t="s">
        <v>25</v>
      </c>
      <c r="FV162" t="s">
        <v>26</v>
      </c>
      <c r="FW162" t="s">
        <v>27</v>
      </c>
      <c r="FX162">
        <v>142</v>
      </c>
      <c r="FY162">
        <v>80.75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</row>
    <row r="163" spans="1:193" ht="12.75">
      <c r="A163">
        <v>18</v>
      </c>
      <c r="B163">
        <v>1</v>
      </c>
      <c r="C163">
        <v>146</v>
      </c>
      <c r="E163" t="s">
        <v>139</v>
      </c>
      <c r="F163" t="s">
        <v>106</v>
      </c>
      <c r="G163" t="s">
        <v>107</v>
      </c>
      <c r="H163" t="s">
        <v>99</v>
      </c>
      <c r="I163">
        <f>I162*J163</f>
        <v>16.575</v>
      </c>
      <c r="J163">
        <v>125</v>
      </c>
      <c r="O163">
        <f t="shared" si="69"/>
        <v>17634.04</v>
      </c>
      <c r="P163">
        <f t="shared" si="70"/>
        <v>17634.04</v>
      </c>
      <c r="Q163">
        <f t="shared" si="71"/>
        <v>0</v>
      </c>
      <c r="R163">
        <f t="shared" si="72"/>
        <v>0</v>
      </c>
      <c r="S163">
        <f t="shared" si="73"/>
        <v>0</v>
      </c>
      <c r="T163">
        <f t="shared" si="74"/>
        <v>0</v>
      </c>
      <c r="U163">
        <f t="shared" si="75"/>
        <v>0</v>
      </c>
      <c r="V163">
        <f t="shared" si="76"/>
        <v>0</v>
      </c>
      <c r="W163">
        <f t="shared" si="77"/>
        <v>0</v>
      </c>
      <c r="X163">
        <f t="shared" si="78"/>
        <v>0</v>
      </c>
      <c r="Y163">
        <f t="shared" si="78"/>
        <v>0</v>
      </c>
      <c r="AA163">
        <v>0</v>
      </c>
      <c r="AB163">
        <f t="shared" si="79"/>
        <v>98.6</v>
      </c>
      <c r="AC163">
        <f aca="true" t="shared" si="92" ref="AC163:AJ163">AL163</f>
        <v>98.6</v>
      </c>
      <c r="AD163">
        <f t="shared" si="92"/>
        <v>0</v>
      </c>
      <c r="AE163">
        <f t="shared" si="92"/>
        <v>0</v>
      </c>
      <c r="AF163">
        <f t="shared" si="92"/>
        <v>0</v>
      </c>
      <c r="AG163">
        <f t="shared" si="92"/>
        <v>0</v>
      </c>
      <c r="AH163">
        <f t="shared" si="92"/>
        <v>0</v>
      </c>
      <c r="AI163">
        <f t="shared" si="92"/>
        <v>0</v>
      </c>
      <c r="AJ163">
        <f t="shared" si="92"/>
        <v>0</v>
      </c>
      <c r="AK163">
        <v>98.6</v>
      </c>
      <c r="AL163">
        <v>98.6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121</v>
      </c>
      <c r="AU163">
        <v>65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10.79</v>
      </c>
      <c r="BH163">
        <v>3</v>
      </c>
      <c r="BI163">
        <v>1</v>
      </c>
      <c r="BJ163" t="s">
        <v>108</v>
      </c>
      <c r="BM163">
        <v>27001</v>
      </c>
      <c r="BN163">
        <v>0</v>
      </c>
      <c r="BO163" t="s">
        <v>106</v>
      </c>
      <c r="BP163">
        <v>1</v>
      </c>
      <c r="BQ163">
        <v>2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Z163">
        <v>142</v>
      </c>
      <c r="CA163">
        <v>95</v>
      </c>
      <c r="CF163">
        <v>0</v>
      </c>
      <c r="CG163">
        <v>0</v>
      </c>
      <c r="CM163">
        <v>0</v>
      </c>
      <c r="CO163">
        <v>0</v>
      </c>
      <c r="CP163">
        <f t="shared" si="82"/>
        <v>17634.04</v>
      </c>
      <c r="CQ163">
        <f t="shared" si="83"/>
        <v>1063.8939999999998</v>
      </c>
      <c r="CR163">
        <f t="shared" si="84"/>
        <v>0</v>
      </c>
      <c r="CS163">
        <f t="shared" si="85"/>
        <v>0</v>
      </c>
      <c r="CT163">
        <f t="shared" si="86"/>
        <v>0</v>
      </c>
      <c r="CU163">
        <f t="shared" si="87"/>
        <v>0</v>
      </c>
      <c r="CV163">
        <f t="shared" si="87"/>
        <v>0</v>
      </c>
      <c r="CW163">
        <f t="shared" si="87"/>
        <v>0</v>
      </c>
      <c r="CX163">
        <f t="shared" si="87"/>
        <v>0</v>
      </c>
      <c r="CY163">
        <f t="shared" si="88"/>
        <v>0</v>
      </c>
      <c r="CZ163">
        <f t="shared" si="89"/>
        <v>0</v>
      </c>
      <c r="DN163">
        <v>0</v>
      </c>
      <c r="DO163">
        <v>0</v>
      </c>
      <c r="DP163">
        <v>1</v>
      </c>
      <c r="DQ163">
        <v>1</v>
      </c>
      <c r="DR163">
        <v>1</v>
      </c>
      <c r="DS163">
        <v>1</v>
      </c>
      <c r="DT163">
        <v>1</v>
      </c>
      <c r="DU163">
        <v>1007</v>
      </c>
      <c r="DV163" t="s">
        <v>99</v>
      </c>
      <c r="DW163" t="s">
        <v>99</v>
      </c>
      <c r="DX163">
        <v>1</v>
      </c>
      <c r="EE163">
        <v>26532675</v>
      </c>
      <c r="EF163">
        <v>2</v>
      </c>
      <c r="EG163" t="s">
        <v>22</v>
      </c>
      <c r="EH163">
        <v>0</v>
      </c>
      <c r="EJ163">
        <v>1</v>
      </c>
      <c r="EK163">
        <v>27001</v>
      </c>
      <c r="EL163" t="s">
        <v>23</v>
      </c>
      <c r="EM163" t="s">
        <v>24</v>
      </c>
      <c r="EQ163">
        <v>0</v>
      </c>
      <c r="ER163">
        <v>98.6</v>
      </c>
      <c r="ES163">
        <v>98.6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0</v>
      </c>
      <c r="FQ163">
        <v>0</v>
      </c>
      <c r="FR163">
        <f t="shared" si="90"/>
        <v>0</v>
      </c>
      <c r="FS163">
        <v>0</v>
      </c>
      <c r="FU163" t="s">
        <v>25</v>
      </c>
      <c r="FV163" t="s">
        <v>26</v>
      </c>
      <c r="FW163" t="s">
        <v>27</v>
      </c>
      <c r="FX163">
        <v>142</v>
      </c>
      <c r="FY163">
        <v>80.75</v>
      </c>
      <c r="GA163">
        <v>98.6</v>
      </c>
      <c r="GB163">
        <v>98.6</v>
      </c>
      <c r="GC163">
        <v>0</v>
      </c>
      <c r="GD163">
        <v>0</v>
      </c>
      <c r="GE163">
        <v>0</v>
      </c>
      <c r="GF163">
        <v>98.6</v>
      </c>
      <c r="GG163">
        <v>98.6</v>
      </c>
      <c r="GH163">
        <v>0</v>
      </c>
      <c r="GI163">
        <v>0</v>
      </c>
      <c r="GJ163">
        <v>0</v>
      </c>
      <c r="GK163">
        <v>0</v>
      </c>
    </row>
    <row r="164" spans="1:193" ht="12.75">
      <c r="A164">
        <v>17</v>
      </c>
      <c r="B164">
        <v>1</v>
      </c>
      <c r="C164">
        <f>ROW(SmtRes!A160)</f>
        <v>160</v>
      </c>
      <c r="D164">
        <f>ROW(EtalonRes!A158)</f>
        <v>158</v>
      </c>
      <c r="E164" t="s">
        <v>140</v>
      </c>
      <c r="F164" t="s">
        <v>141</v>
      </c>
      <c r="G164" t="s">
        <v>142</v>
      </c>
      <c r="H164" t="s">
        <v>115</v>
      </c>
      <c r="I164">
        <v>0.1326</v>
      </c>
      <c r="J164">
        <v>0</v>
      </c>
      <c r="O164">
        <f t="shared" si="69"/>
        <v>36746.43</v>
      </c>
      <c r="P164">
        <f t="shared" si="70"/>
        <v>34314.92</v>
      </c>
      <c r="Q164">
        <f t="shared" si="71"/>
        <v>1559.91</v>
      </c>
      <c r="R164">
        <f t="shared" si="72"/>
        <v>621.06</v>
      </c>
      <c r="S164">
        <f t="shared" si="73"/>
        <v>871.6</v>
      </c>
      <c r="T164">
        <f t="shared" si="74"/>
        <v>0</v>
      </c>
      <c r="U164">
        <f t="shared" si="75"/>
        <v>5.07858</v>
      </c>
      <c r="V164">
        <f t="shared" si="76"/>
        <v>2.5300079999999996</v>
      </c>
      <c r="W164">
        <f t="shared" si="77"/>
        <v>0</v>
      </c>
      <c r="X164">
        <f t="shared" si="78"/>
        <v>1806.12</v>
      </c>
      <c r="Y164">
        <f t="shared" si="78"/>
        <v>970.23</v>
      </c>
      <c r="AA164">
        <v>0</v>
      </c>
      <c r="AB164">
        <f t="shared" si="79"/>
        <v>56333.39</v>
      </c>
      <c r="AC164">
        <f>(ES164)</f>
        <v>53578.72</v>
      </c>
      <c r="AD164">
        <f>(ET164)</f>
        <v>2386.22</v>
      </c>
      <c r="AE164">
        <f>(EU164)</f>
        <v>262.54</v>
      </c>
      <c r="AF164">
        <f>(EV164)</f>
        <v>368.45</v>
      </c>
      <c r="AG164">
        <f>(AP164)</f>
        <v>0</v>
      </c>
      <c r="AH164">
        <f>(EW164)</f>
        <v>38.3</v>
      </c>
      <c r="AI164">
        <f>(EX164)</f>
        <v>19.08</v>
      </c>
      <c r="AJ164">
        <f>(AS164)</f>
        <v>0</v>
      </c>
      <c r="AK164">
        <v>56333.39</v>
      </c>
      <c r="AL164">
        <v>53578.72</v>
      </c>
      <c r="AM164">
        <v>2386.22</v>
      </c>
      <c r="AN164">
        <v>262.54</v>
      </c>
      <c r="AO164">
        <v>368.45</v>
      </c>
      <c r="AP164">
        <v>0</v>
      </c>
      <c r="AQ164">
        <v>38.3</v>
      </c>
      <c r="AR164">
        <v>19.08</v>
      </c>
      <c r="AS164">
        <v>0</v>
      </c>
      <c r="AT164">
        <v>121</v>
      </c>
      <c r="AU164">
        <v>65</v>
      </c>
      <c r="AV164">
        <v>1</v>
      </c>
      <c r="AW164">
        <v>1</v>
      </c>
      <c r="AX164">
        <v>1</v>
      </c>
      <c r="AY164">
        <v>1</v>
      </c>
      <c r="AZ164">
        <v>5.17</v>
      </c>
      <c r="BA164">
        <v>17.84</v>
      </c>
      <c r="BB164">
        <v>4.93</v>
      </c>
      <c r="BC164">
        <v>4.83</v>
      </c>
      <c r="BH164">
        <v>0</v>
      </c>
      <c r="BI164">
        <v>1</v>
      </c>
      <c r="BJ164" t="s">
        <v>143</v>
      </c>
      <c r="BM164">
        <v>27001</v>
      </c>
      <c r="BN164">
        <v>0</v>
      </c>
      <c r="BO164" t="s">
        <v>141</v>
      </c>
      <c r="BP164">
        <v>1</v>
      </c>
      <c r="BQ164">
        <v>2</v>
      </c>
      <c r="BR164">
        <v>0</v>
      </c>
      <c r="BS164">
        <v>17.84</v>
      </c>
      <c r="BT164">
        <v>1</v>
      </c>
      <c r="BU164">
        <v>1</v>
      </c>
      <c r="BV164">
        <v>1</v>
      </c>
      <c r="BW164">
        <v>1</v>
      </c>
      <c r="BX164">
        <v>1</v>
      </c>
      <c r="BZ164">
        <v>142</v>
      </c>
      <c r="CA164">
        <v>95</v>
      </c>
      <c r="CF164">
        <v>0</v>
      </c>
      <c r="CG164">
        <v>0</v>
      </c>
      <c r="CM164">
        <v>0</v>
      </c>
      <c r="CO164">
        <v>0</v>
      </c>
      <c r="CP164">
        <f t="shared" si="82"/>
        <v>36746.43</v>
      </c>
      <c r="CQ164">
        <f t="shared" si="83"/>
        <v>258785.2176</v>
      </c>
      <c r="CR164">
        <f t="shared" si="84"/>
        <v>11764.064599999998</v>
      </c>
      <c r="CS164">
        <f t="shared" si="85"/>
        <v>4683.7136</v>
      </c>
      <c r="CT164">
        <f t="shared" si="86"/>
        <v>6573.148</v>
      </c>
      <c r="CU164">
        <f t="shared" si="87"/>
        <v>0</v>
      </c>
      <c r="CV164">
        <f t="shared" si="87"/>
        <v>38.3</v>
      </c>
      <c r="CW164">
        <f t="shared" si="87"/>
        <v>19.08</v>
      </c>
      <c r="CX164">
        <f t="shared" si="87"/>
        <v>0</v>
      </c>
      <c r="CY164">
        <f t="shared" si="88"/>
        <v>1806.1185999999998</v>
      </c>
      <c r="CZ164">
        <f t="shared" si="89"/>
        <v>970.2289999999999</v>
      </c>
      <c r="DN164">
        <v>0</v>
      </c>
      <c r="DO164">
        <v>0</v>
      </c>
      <c r="DP164">
        <v>1</v>
      </c>
      <c r="DQ164">
        <v>1</v>
      </c>
      <c r="DR164">
        <v>1</v>
      </c>
      <c r="DS164">
        <v>1</v>
      </c>
      <c r="DT164">
        <v>1</v>
      </c>
      <c r="DU164">
        <v>1005</v>
      </c>
      <c r="DV164" t="s">
        <v>115</v>
      </c>
      <c r="DW164" t="s">
        <v>117</v>
      </c>
      <c r="DX164">
        <v>1000</v>
      </c>
      <c r="EE164">
        <v>26532675</v>
      </c>
      <c r="EF164">
        <v>2</v>
      </c>
      <c r="EG164" t="s">
        <v>22</v>
      </c>
      <c r="EH164">
        <v>0</v>
      </c>
      <c r="EJ164">
        <v>1</v>
      </c>
      <c r="EK164">
        <v>27001</v>
      </c>
      <c r="EL164" t="s">
        <v>23</v>
      </c>
      <c r="EM164" t="s">
        <v>24</v>
      </c>
      <c r="EQ164">
        <v>0</v>
      </c>
      <c r="ER164">
        <v>56333.39</v>
      </c>
      <c r="ES164">
        <v>53578.72</v>
      </c>
      <c r="ET164">
        <v>2386.22</v>
      </c>
      <c r="EU164">
        <v>262.54</v>
      </c>
      <c r="EV164">
        <v>368.45</v>
      </c>
      <c r="EW164">
        <v>38.3</v>
      </c>
      <c r="EX164">
        <v>19.08</v>
      </c>
      <c r="EY164">
        <v>0</v>
      </c>
      <c r="EZ164">
        <v>0</v>
      </c>
      <c r="FQ164">
        <v>0</v>
      </c>
      <c r="FR164">
        <f t="shared" si="90"/>
        <v>0</v>
      </c>
      <c r="FS164">
        <v>0</v>
      </c>
      <c r="FU164" t="s">
        <v>25</v>
      </c>
      <c r="FV164" t="s">
        <v>26</v>
      </c>
      <c r="FW164" t="s">
        <v>27</v>
      </c>
      <c r="FX164">
        <v>142</v>
      </c>
      <c r="FY164">
        <v>80.75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</row>
    <row r="166" spans="1:43" ht="12.75">
      <c r="A166" s="2">
        <v>51</v>
      </c>
      <c r="B166" s="2">
        <f>B154</f>
        <v>1</v>
      </c>
      <c r="C166" s="2">
        <f>A154</f>
        <v>4</v>
      </c>
      <c r="D166" s="2">
        <f>ROW(A154)</f>
        <v>154</v>
      </c>
      <c r="E166" s="2"/>
      <c r="F166" s="2" t="str">
        <f>IF(F154&lt;&gt;"",F154,"")</f>
        <v>Новый раздел</v>
      </c>
      <c r="G166" s="2" t="str">
        <f>IF(G154&lt;&gt;"",G154,"")</f>
        <v>Устройство тротуара</v>
      </c>
      <c r="H166" s="2"/>
      <c r="I166" s="2"/>
      <c r="J166" s="2"/>
      <c r="K166" s="2"/>
      <c r="L166" s="2"/>
      <c r="M166" s="2"/>
      <c r="N166" s="2"/>
      <c r="O166" s="2">
        <f aca="true" t="shared" si="93" ref="O166:Y166">ROUND(AB166,2)</f>
        <v>84488.07</v>
      </c>
      <c r="P166" s="2">
        <f t="shared" si="93"/>
        <v>66890</v>
      </c>
      <c r="Q166" s="2">
        <f t="shared" si="93"/>
        <v>15570.83</v>
      </c>
      <c r="R166" s="2">
        <f t="shared" si="93"/>
        <v>2615.1</v>
      </c>
      <c r="S166" s="2">
        <f t="shared" si="93"/>
        <v>2027.24</v>
      </c>
      <c r="T166" s="2">
        <f t="shared" si="93"/>
        <v>0</v>
      </c>
      <c r="U166" s="2">
        <f t="shared" si="93"/>
        <v>13.15</v>
      </c>
      <c r="V166" s="2">
        <f t="shared" si="93"/>
        <v>10.97</v>
      </c>
      <c r="W166" s="2">
        <f t="shared" si="93"/>
        <v>0</v>
      </c>
      <c r="X166" s="2">
        <f t="shared" si="93"/>
        <v>5382.96</v>
      </c>
      <c r="Y166" s="2">
        <f t="shared" si="93"/>
        <v>2835.96</v>
      </c>
      <c r="Z166" s="2"/>
      <c r="AA166" s="2"/>
      <c r="AB166" s="2">
        <f>ROUND(SUMIF(AA158:AA164,"=0",O158:O164),2)</f>
        <v>84488.07</v>
      </c>
      <c r="AC166" s="2">
        <f>ROUND(SUMIF(AA158:AA164,"=0",P158:P164),2)</f>
        <v>66890</v>
      </c>
      <c r="AD166" s="2">
        <f>ROUND(SUMIF(AA158:AA164,"=0",Q158:Q164),2)</f>
        <v>15570.83</v>
      </c>
      <c r="AE166" s="2">
        <f>ROUND(SUMIF(AA158:AA164,"=0",R158:R164),2)</f>
        <v>2615.1</v>
      </c>
      <c r="AF166" s="2">
        <f>ROUND(SUMIF(AA158:AA164,"=0",S158:S164),2)</f>
        <v>2027.24</v>
      </c>
      <c r="AG166" s="2">
        <f>ROUND(SUMIF(AA158:AA164,"=0",T158:T164),2)</f>
        <v>0</v>
      </c>
      <c r="AH166" s="2">
        <f>ROUND(SUMIF(AA158:AA164,"=0",U158:U164),2)</f>
        <v>13.15</v>
      </c>
      <c r="AI166" s="2">
        <f>ROUND(SUMIF(AA158:AA164,"=0",V158:V164),2)</f>
        <v>10.97</v>
      </c>
      <c r="AJ166" s="2">
        <f>ROUND(SUMIF(AA158:AA164,"=0",W158:W164),2)</f>
        <v>0</v>
      </c>
      <c r="AK166" s="2">
        <f>ROUND(SUMIF(AA158:AA164,"=0",X158:X164),2)</f>
        <v>5382.96</v>
      </c>
      <c r="AL166" s="2">
        <f>ROUND(SUMIF(AA158:AA164,"=0",Y158:Y164),2)</f>
        <v>2835.96</v>
      </c>
      <c r="AM166" s="2"/>
      <c r="AN166" s="2">
        <f>ROUND(AO166,2)</f>
        <v>0</v>
      </c>
      <c r="AO166" s="2">
        <f>ROUND(SUMIF(AA158:AA164,"=0",FQ158:FQ164),2)</f>
        <v>0</v>
      </c>
      <c r="AP166" s="2">
        <f>ROUND(AQ166,2)</f>
        <v>0</v>
      </c>
      <c r="AQ166" s="2">
        <f>ROUND(SUM(FR158:FR164),2)</f>
        <v>0</v>
      </c>
    </row>
    <row r="168" spans="1:14" ht="12.75">
      <c r="A168" s="3">
        <v>50</v>
      </c>
      <c r="B168" s="3">
        <v>0</v>
      </c>
      <c r="C168" s="3">
        <v>0</v>
      </c>
      <c r="D168" s="3">
        <v>1</v>
      </c>
      <c r="E168" s="3">
        <v>201</v>
      </c>
      <c r="F168" s="3">
        <f>Source!O166</f>
        <v>84488.07</v>
      </c>
      <c r="G168" s="3" t="s">
        <v>49</v>
      </c>
      <c r="H168" s="3" t="s">
        <v>50</v>
      </c>
      <c r="I168" s="3"/>
      <c r="J168" s="3"/>
      <c r="K168" s="3">
        <v>201</v>
      </c>
      <c r="L168" s="3">
        <v>1</v>
      </c>
      <c r="M168" s="3">
        <v>3</v>
      </c>
      <c r="N168" s="3" t="s">
        <v>3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202</v>
      </c>
      <c r="F169" s="3">
        <f>Source!P166</f>
        <v>66890</v>
      </c>
      <c r="G169" s="3" t="s">
        <v>51</v>
      </c>
      <c r="H169" s="3" t="s">
        <v>52</v>
      </c>
      <c r="I169" s="3"/>
      <c r="J169" s="3"/>
      <c r="K169" s="3">
        <v>202</v>
      </c>
      <c r="L169" s="3">
        <v>2</v>
      </c>
      <c r="M169" s="3">
        <v>3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222</v>
      </c>
      <c r="F170" s="3">
        <f>Source!AN166</f>
        <v>0</v>
      </c>
      <c r="G170" s="3" t="s">
        <v>53</v>
      </c>
      <c r="H170" s="3" t="s">
        <v>54</v>
      </c>
      <c r="I170" s="3"/>
      <c r="J170" s="3"/>
      <c r="K170" s="3">
        <v>222</v>
      </c>
      <c r="L170" s="3">
        <v>3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216</v>
      </c>
      <c r="F171" s="3">
        <f>Source!AP166</f>
        <v>0</v>
      </c>
      <c r="G171" s="3" t="s">
        <v>55</v>
      </c>
      <c r="H171" s="3" t="s">
        <v>56</v>
      </c>
      <c r="I171" s="3"/>
      <c r="J171" s="3"/>
      <c r="K171" s="3">
        <v>216</v>
      </c>
      <c r="L171" s="3">
        <v>4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203</v>
      </c>
      <c r="F172" s="3">
        <f>Source!Q166</f>
        <v>15570.83</v>
      </c>
      <c r="G172" s="3" t="s">
        <v>57</v>
      </c>
      <c r="H172" s="3" t="s">
        <v>58</v>
      </c>
      <c r="I172" s="3"/>
      <c r="J172" s="3"/>
      <c r="K172" s="3">
        <v>203</v>
      </c>
      <c r="L172" s="3">
        <v>5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204</v>
      </c>
      <c r="F173" s="3">
        <f>Source!R166</f>
        <v>2615.1</v>
      </c>
      <c r="G173" s="3" t="s">
        <v>59</v>
      </c>
      <c r="H173" s="3" t="s">
        <v>60</v>
      </c>
      <c r="I173" s="3"/>
      <c r="J173" s="3"/>
      <c r="K173" s="3">
        <v>204</v>
      </c>
      <c r="L173" s="3">
        <v>6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205</v>
      </c>
      <c r="F174" s="3">
        <f>Source!S166</f>
        <v>2027.24</v>
      </c>
      <c r="G174" s="3" t="s">
        <v>61</v>
      </c>
      <c r="H174" s="3" t="s">
        <v>62</v>
      </c>
      <c r="I174" s="3"/>
      <c r="J174" s="3"/>
      <c r="K174" s="3">
        <v>205</v>
      </c>
      <c r="L174" s="3">
        <v>7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206</v>
      </c>
      <c r="F175" s="3">
        <f>Source!T166</f>
        <v>0</v>
      </c>
      <c r="G175" s="3" t="s">
        <v>63</v>
      </c>
      <c r="H175" s="3" t="s">
        <v>64</v>
      </c>
      <c r="I175" s="3"/>
      <c r="J175" s="3"/>
      <c r="K175" s="3">
        <v>206</v>
      </c>
      <c r="L175" s="3">
        <v>8</v>
      </c>
      <c r="M175" s="3">
        <v>3</v>
      </c>
      <c r="N175" s="3" t="s">
        <v>3</v>
      </c>
    </row>
    <row r="176" spans="1:14" ht="12.75">
      <c r="A176" s="3">
        <v>50</v>
      </c>
      <c r="B176" s="3">
        <v>0</v>
      </c>
      <c r="C176" s="3">
        <v>0</v>
      </c>
      <c r="D176" s="3">
        <v>1</v>
      </c>
      <c r="E176" s="3">
        <v>207</v>
      </c>
      <c r="F176" s="3">
        <f>Source!U166</f>
        <v>13.15</v>
      </c>
      <c r="G176" s="3" t="s">
        <v>65</v>
      </c>
      <c r="H176" s="3" t="s">
        <v>66</v>
      </c>
      <c r="I176" s="3"/>
      <c r="J176" s="3"/>
      <c r="K176" s="3">
        <v>207</v>
      </c>
      <c r="L176" s="3">
        <v>9</v>
      </c>
      <c r="M176" s="3">
        <v>3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208</v>
      </c>
      <c r="F177" s="3">
        <f>Source!V166</f>
        <v>10.97</v>
      </c>
      <c r="G177" s="3" t="s">
        <v>67</v>
      </c>
      <c r="H177" s="3" t="s">
        <v>68</v>
      </c>
      <c r="I177" s="3"/>
      <c r="J177" s="3"/>
      <c r="K177" s="3">
        <v>208</v>
      </c>
      <c r="L177" s="3">
        <v>10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209</v>
      </c>
      <c r="F178" s="3">
        <f>Source!W166</f>
        <v>0</v>
      </c>
      <c r="G178" s="3" t="s">
        <v>69</v>
      </c>
      <c r="H178" s="3" t="s">
        <v>70</v>
      </c>
      <c r="I178" s="3"/>
      <c r="J178" s="3"/>
      <c r="K178" s="3">
        <v>209</v>
      </c>
      <c r="L178" s="3">
        <v>11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210</v>
      </c>
      <c r="F179" s="3">
        <f>Source!X166</f>
        <v>5382.96</v>
      </c>
      <c r="G179" s="3" t="s">
        <v>71</v>
      </c>
      <c r="H179" s="3" t="s">
        <v>72</v>
      </c>
      <c r="I179" s="3"/>
      <c r="J179" s="3"/>
      <c r="K179" s="3">
        <v>210</v>
      </c>
      <c r="L179" s="3">
        <v>12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211</v>
      </c>
      <c r="F180" s="3">
        <f>Source!Y166</f>
        <v>2835.96</v>
      </c>
      <c r="G180" s="3" t="s">
        <v>73</v>
      </c>
      <c r="H180" s="3" t="s">
        <v>74</v>
      </c>
      <c r="I180" s="3"/>
      <c r="J180" s="3"/>
      <c r="K180" s="3">
        <v>211</v>
      </c>
      <c r="L180" s="3">
        <v>13</v>
      </c>
      <c r="M180" s="3">
        <v>3</v>
      </c>
      <c r="N180" s="3" t="s">
        <v>3</v>
      </c>
    </row>
    <row r="181" ht="12.75">
      <c r="G181">
        <v>0</v>
      </c>
    </row>
    <row r="182" spans="1:67" ht="12.75">
      <c r="A182" s="1">
        <v>4</v>
      </c>
      <c r="B182" s="1">
        <v>1</v>
      </c>
      <c r="C182" s="1"/>
      <c r="D182" s="1">
        <f>ROW(A192)</f>
        <v>192</v>
      </c>
      <c r="E182" s="1"/>
      <c r="F182" s="1" t="s">
        <v>14</v>
      </c>
      <c r="G182" s="1" t="s">
        <v>144</v>
      </c>
      <c r="H182" s="1"/>
      <c r="I182" s="1"/>
      <c r="J182" s="1"/>
      <c r="K182" s="1"/>
      <c r="L182" s="1"/>
      <c r="M182" s="1"/>
      <c r="N182" s="1" t="s">
        <v>3</v>
      </c>
      <c r="O182" s="1"/>
      <c r="P182" s="1"/>
      <c r="Q182" s="1"/>
      <c r="R182" s="1" t="s">
        <v>3</v>
      </c>
      <c r="S182" s="1" t="s">
        <v>3</v>
      </c>
      <c r="T182" s="1" t="s">
        <v>3</v>
      </c>
      <c r="U182" s="1" t="s">
        <v>3</v>
      </c>
      <c r="V182" s="1"/>
      <c r="W182" s="1"/>
      <c r="X182" s="1">
        <v>0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>
        <v>0</v>
      </c>
      <c r="AM182" s="1"/>
      <c r="AN182" s="1"/>
      <c r="AO182" s="1" t="s">
        <v>3</v>
      </c>
      <c r="AP182" s="1" t="s">
        <v>3</v>
      </c>
      <c r="AQ182" s="1" t="s">
        <v>3</v>
      </c>
      <c r="AR182" s="1"/>
      <c r="AS182" s="1"/>
      <c r="AT182" s="1" t="s">
        <v>3</v>
      </c>
      <c r="AU182" s="1" t="s">
        <v>3</v>
      </c>
      <c r="AV182" s="1" t="s">
        <v>3</v>
      </c>
      <c r="AW182" s="1" t="s">
        <v>3</v>
      </c>
      <c r="AX182" s="1" t="s">
        <v>3</v>
      </c>
      <c r="AY182" s="1" t="s">
        <v>3</v>
      </c>
      <c r="AZ182" s="1" t="s">
        <v>3</v>
      </c>
      <c r="BA182" s="1" t="s">
        <v>3</v>
      </c>
      <c r="BB182" s="1" t="s">
        <v>3</v>
      </c>
      <c r="BC182" s="1" t="s">
        <v>3</v>
      </c>
      <c r="BD182" s="1" t="s">
        <v>3</v>
      </c>
      <c r="BE182" s="1" t="s">
        <v>145</v>
      </c>
      <c r="BF182" s="1">
        <v>0</v>
      </c>
      <c r="BG182" s="1">
        <v>0</v>
      </c>
      <c r="BH182" s="1" t="s">
        <v>3</v>
      </c>
      <c r="BI182" s="1" t="s">
        <v>3</v>
      </c>
      <c r="BJ182" s="1" t="s">
        <v>3</v>
      </c>
      <c r="BK182" s="1" t="s">
        <v>3</v>
      </c>
      <c r="BL182" s="1" t="s">
        <v>3</v>
      </c>
      <c r="BM182" s="1">
        <v>0</v>
      </c>
      <c r="BN182" s="1" t="s">
        <v>3</v>
      </c>
      <c r="BO182" s="1">
        <v>0</v>
      </c>
    </row>
    <row r="184" spans="1:43" ht="12.75">
      <c r="A184" s="2">
        <v>52</v>
      </c>
      <c r="B184" s="2">
        <f aca="true" t="shared" si="94" ref="B184:AQ184">B192</f>
        <v>1</v>
      </c>
      <c r="C184" s="2">
        <f t="shared" si="94"/>
        <v>4</v>
      </c>
      <c r="D184" s="2">
        <f t="shared" si="94"/>
        <v>182</v>
      </c>
      <c r="E184" s="2">
        <f t="shared" si="94"/>
        <v>0</v>
      </c>
      <c r="F184" s="2" t="str">
        <f t="shared" si="94"/>
        <v>Новый раздел</v>
      </c>
      <c r="G184" s="2" t="str">
        <f t="shared" si="94"/>
        <v>Ремонт колодцев</v>
      </c>
      <c r="H184" s="2">
        <f t="shared" si="94"/>
        <v>0</v>
      </c>
      <c r="I184" s="2">
        <f t="shared" si="94"/>
        <v>0</v>
      </c>
      <c r="J184" s="2">
        <f t="shared" si="94"/>
        <v>0</v>
      </c>
      <c r="K184" s="2">
        <f t="shared" si="94"/>
        <v>0</v>
      </c>
      <c r="L184" s="2">
        <f t="shared" si="94"/>
        <v>0</v>
      </c>
      <c r="M184" s="2">
        <f t="shared" si="94"/>
        <v>0</v>
      </c>
      <c r="N184" s="2">
        <f t="shared" si="94"/>
        <v>0</v>
      </c>
      <c r="O184" s="2">
        <f t="shared" si="94"/>
        <v>5955.61</v>
      </c>
      <c r="P184" s="2">
        <f t="shared" si="94"/>
        <v>3094.74</v>
      </c>
      <c r="Q184" s="2">
        <f t="shared" si="94"/>
        <v>889.07</v>
      </c>
      <c r="R184" s="2">
        <f t="shared" si="94"/>
        <v>189.09</v>
      </c>
      <c r="S184" s="2">
        <f t="shared" si="94"/>
        <v>1971.8</v>
      </c>
      <c r="T184" s="2">
        <f t="shared" si="94"/>
        <v>0</v>
      </c>
      <c r="U184" s="2">
        <f t="shared" si="94"/>
        <v>13.3</v>
      </c>
      <c r="V184" s="2">
        <f t="shared" si="94"/>
        <v>0.79</v>
      </c>
      <c r="W184" s="2">
        <f t="shared" si="94"/>
        <v>0</v>
      </c>
      <c r="X184" s="2">
        <f t="shared" si="94"/>
        <v>1939.77</v>
      </c>
      <c r="Y184" s="2">
        <f t="shared" si="94"/>
        <v>1099.44</v>
      </c>
      <c r="Z184" s="2">
        <f t="shared" si="94"/>
        <v>0</v>
      </c>
      <c r="AA184" s="2">
        <f t="shared" si="94"/>
        <v>0</v>
      </c>
      <c r="AB184" s="2">
        <f t="shared" si="94"/>
        <v>5955.61</v>
      </c>
      <c r="AC184" s="2">
        <f t="shared" si="94"/>
        <v>3094.74</v>
      </c>
      <c r="AD184" s="2">
        <f t="shared" si="94"/>
        <v>889.07</v>
      </c>
      <c r="AE184" s="2">
        <f t="shared" si="94"/>
        <v>189.09</v>
      </c>
      <c r="AF184" s="2">
        <f t="shared" si="94"/>
        <v>1971.8</v>
      </c>
      <c r="AG184" s="2">
        <f t="shared" si="94"/>
        <v>0</v>
      </c>
      <c r="AH184" s="2">
        <f t="shared" si="94"/>
        <v>13.3</v>
      </c>
      <c r="AI184" s="2">
        <f t="shared" si="94"/>
        <v>0.79</v>
      </c>
      <c r="AJ184" s="2">
        <f t="shared" si="94"/>
        <v>0</v>
      </c>
      <c r="AK184" s="2">
        <f t="shared" si="94"/>
        <v>1939.77</v>
      </c>
      <c r="AL184" s="2">
        <f t="shared" si="94"/>
        <v>1099.44</v>
      </c>
      <c r="AM184" s="2">
        <f t="shared" si="94"/>
        <v>0</v>
      </c>
      <c r="AN184" s="2">
        <f t="shared" si="94"/>
        <v>0</v>
      </c>
      <c r="AO184" s="2">
        <f t="shared" si="94"/>
        <v>0</v>
      </c>
      <c r="AP184" s="2">
        <f t="shared" si="94"/>
        <v>0</v>
      </c>
      <c r="AQ184" s="2">
        <f t="shared" si="94"/>
        <v>0</v>
      </c>
    </row>
    <row r="186" spans="1:193" ht="12.75">
      <c r="A186">
        <v>17</v>
      </c>
      <c r="B186">
        <v>1</v>
      </c>
      <c r="C186">
        <f>ROW(SmtRes!A162)</f>
        <v>162</v>
      </c>
      <c r="D186">
        <f>ROW(EtalonRes!A160)</f>
        <v>160</v>
      </c>
      <c r="E186" t="s">
        <v>146</v>
      </c>
      <c r="F186" t="s">
        <v>147</v>
      </c>
      <c r="G186" t="s">
        <v>148</v>
      </c>
      <c r="H186" t="s">
        <v>149</v>
      </c>
      <c r="I186">
        <v>3</v>
      </c>
      <c r="J186">
        <v>0</v>
      </c>
      <c r="O186">
        <f>ROUND(CP186,2)</f>
        <v>955.87</v>
      </c>
      <c r="P186">
        <f>ROUND(CQ186*I186,2)</f>
        <v>0</v>
      </c>
      <c r="Q186">
        <f>ROUND(CR186*I186,2)</f>
        <v>0</v>
      </c>
      <c r="R186">
        <f>ROUND(CS186*I186,2)</f>
        <v>0</v>
      </c>
      <c r="S186">
        <f>ROUND(CT186*I186,2)</f>
        <v>955.87</v>
      </c>
      <c r="T186">
        <f>ROUND(CU186*I186,2)</f>
        <v>0</v>
      </c>
      <c r="U186">
        <f>CV186*I186</f>
        <v>6.8100000000000005</v>
      </c>
      <c r="V186">
        <f>CW186*I186</f>
        <v>0</v>
      </c>
      <c r="W186">
        <f>ROUND(CX186*I186,2)</f>
        <v>0</v>
      </c>
      <c r="X186">
        <f aca="true" t="shared" si="95" ref="X186:Y190">ROUND(CY186,2)</f>
        <v>602.2</v>
      </c>
      <c r="Y186">
        <f t="shared" si="95"/>
        <v>382.35</v>
      </c>
      <c r="AA186">
        <v>0</v>
      </c>
      <c r="AB186">
        <f>(AC186+AD186+AF186)</f>
        <v>17.86</v>
      </c>
      <c r="AC186">
        <f aca="true" t="shared" si="96" ref="AC186:AF187">(ES186)</f>
        <v>0</v>
      </c>
      <c r="AD186">
        <f t="shared" si="96"/>
        <v>0</v>
      </c>
      <c r="AE186">
        <f t="shared" si="96"/>
        <v>0</v>
      </c>
      <c r="AF186">
        <f t="shared" si="96"/>
        <v>17.86</v>
      </c>
      <c r="AG186">
        <f>(AP186)</f>
        <v>0</v>
      </c>
      <c r="AH186">
        <f>(EW186)</f>
        <v>2.27</v>
      </c>
      <c r="AI186">
        <f>(EX186)</f>
        <v>0</v>
      </c>
      <c r="AJ186">
        <f>(AS186)</f>
        <v>0</v>
      </c>
      <c r="AK186">
        <v>17.86</v>
      </c>
      <c r="AL186">
        <v>0</v>
      </c>
      <c r="AM186">
        <v>0</v>
      </c>
      <c r="AN186">
        <v>0</v>
      </c>
      <c r="AO186">
        <v>17.86</v>
      </c>
      <c r="AP186">
        <v>0</v>
      </c>
      <c r="AQ186">
        <v>2.27</v>
      </c>
      <c r="AR186">
        <v>0</v>
      </c>
      <c r="AS186">
        <v>0</v>
      </c>
      <c r="AT186">
        <v>63</v>
      </c>
      <c r="AU186">
        <v>40</v>
      </c>
      <c r="AV186">
        <v>1</v>
      </c>
      <c r="AW186">
        <v>1</v>
      </c>
      <c r="AX186">
        <v>1</v>
      </c>
      <c r="AY186">
        <v>1</v>
      </c>
      <c r="AZ186">
        <v>16.17</v>
      </c>
      <c r="BA186">
        <v>17.84</v>
      </c>
      <c r="BB186">
        <v>1</v>
      </c>
      <c r="BC186">
        <v>1</v>
      </c>
      <c r="BH186">
        <v>0</v>
      </c>
      <c r="BI186">
        <v>1</v>
      </c>
      <c r="BJ186" t="s">
        <v>150</v>
      </c>
      <c r="BM186">
        <v>66001</v>
      </c>
      <c r="BN186">
        <v>0</v>
      </c>
      <c r="BO186" t="s">
        <v>147</v>
      </c>
      <c r="BP186">
        <v>1</v>
      </c>
      <c r="BQ186">
        <v>6</v>
      </c>
      <c r="BR186">
        <v>0</v>
      </c>
      <c r="BS186">
        <v>17.84</v>
      </c>
      <c r="BT186">
        <v>1</v>
      </c>
      <c r="BU186">
        <v>1</v>
      </c>
      <c r="BV186">
        <v>1</v>
      </c>
      <c r="BW186">
        <v>1</v>
      </c>
      <c r="BX186">
        <v>1</v>
      </c>
      <c r="BZ186">
        <v>74</v>
      </c>
      <c r="CA186">
        <v>50</v>
      </c>
      <c r="CF186">
        <v>0</v>
      </c>
      <c r="CG186">
        <v>0</v>
      </c>
      <c r="CM186">
        <v>0</v>
      </c>
      <c r="CO186">
        <v>0</v>
      </c>
      <c r="CP186">
        <f>(P186+Q186+S186)</f>
        <v>955.87</v>
      </c>
      <c r="CQ186">
        <f>(AC186)*BC186</f>
        <v>0</v>
      </c>
      <c r="CR186">
        <f>(AD186)*BB186</f>
        <v>0</v>
      </c>
      <c r="CS186">
        <f>(AE186)*BS186</f>
        <v>0</v>
      </c>
      <c r="CT186">
        <f>(AF186)*BA186</f>
        <v>318.62239999999997</v>
      </c>
      <c r="CU186">
        <f aca="true" t="shared" si="97" ref="CU186:CX190">(AG186)*BT186</f>
        <v>0</v>
      </c>
      <c r="CV186">
        <f t="shared" si="97"/>
        <v>2.27</v>
      </c>
      <c r="CW186">
        <f t="shared" si="97"/>
        <v>0</v>
      </c>
      <c r="CX186">
        <f t="shared" si="97"/>
        <v>0</v>
      </c>
      <c r="CY186">
        <f>((S186+R186)*(ROUND((FX186*IF(1,(IF(0,0.94,0.85)*IF(0,0.85,1)),1)),IF(1,0,2))/100))</f>
        <v>602.1981</v>
      </c>
      <c r="CZ186">
        <f>((S186+R186)*(ROUND((FY186*IF(1,0.8,1)),IF(1,0,2))/100))</f>
        <v>382.348</v>
      </c>
      <c r="DN186">
        <v>0</v>
      </c>
      <c r="DO186">
        <v>0</v>
      </c>
      <c r="DP186">
        <v>1</v>
      </c>
      <c r="DQ186">
        <v>1</v>
      </c>
      <c r="DR186">
        <v>1</v>
      </c>
      <c r="DS186">
        <v>1</v>
      </c>
      <c r="DT186">
        <v>1</v>
      </c>
      <c r="DU186">
        <v>1013</v>
      </c>
      <c r="DV186" t="s">
        <v>149</v>
      </c>
      <c r="DW186" t="s">
        <v>149</v>
      </c>
      <c r="DX186">
        <v>1</v>
      </c>
      <c r="EE186">
        <v>26532738</v>
      </c>
      <c r="EF186">
        <v>6</v>
      </c>
      <c r="EG186" t="s">
        <v>151</v>
      </c>
      <c r="EH186">
        <v>0</v>
      </c>
      <c r="EJ186">
        <v>1</v>
      </c>
      <c r="EK186">
        <v>66001</v>
      </c>
      <c r="EL186" t="s">
        <v>152</v>
      </c>
      <c r="EM186" t="s">
        <v>153</v>
      </c>
      <c r="EQ186">
        <v>0</v>
      </c>
      <c r="ER186">
        <v>17.86</v>
      </c>
      <c r="ES186">
        <v>0</v>
      </c>
      <c r="ET186">
        <v>0</v>
      </c>
      <c r="EU186">
        <v>0</v>
      </c>
      <c r="EV186">
        <v>17.86</v>
      </c>
      <c r="EW186">
        <v>2.27</v>
      </c>
      <c r="EX186">
        <v>0</v>
      </c>
      <c r="EY186">
        <v>0</v>
      </c>
      <c r="EZ186">
        <v>0</v>
      </c>
      <c r="FQ186">
        <v>0</v>
      </c>
      <c r="FR186">
        <f>ROUND(IF(AND(AA186=0,BI186=3),P186,0),2)</f>
        <v>0</v>
      </c>
      <c r="FS186">
        <v>0</v>
      </c>
      <c r="FV186" t="s">
        <v>26</v>
      </c>
      <c r="FW186" t="s">
        <v>27</v>
      </c>
      <c r="FX186">
        <v>74</v>
      </c>
      <c r="FY186">
        <v>50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</row>
    <row r="187" spans="1:193" ht="12.75">
      <c r="A187">
        <v>17</v>
      </c>
      <c r="B187">
        <v>1</v>
      </c>
      <c r="C187">
        <f>ROW(SmtRes!A171)</f>
        <v>171</v>
      </c>
      <c r="D187">
        <f>ROW(EtalonRes!A168)</f>
        <v>168</v>
      </c>
      <c r="E187" t="s">
        <v>154</v>
      </c>
      <c r="F187" t="s">
        <v>155</v>
      </c>
      <c r="G187" t="s">
        <v>156</v>
      </c>
      <c r="H187" t="s">
        <v>93</v>
      </c>
      <c r="I187">
        <v>0.00468</v>
      </c>
      <c r="J187">
        <v>0</v>
      </c>
      <c r="O187">
        <f>ROUND(CP187,2)</f>
        <v>1198.27</v>
      </c>
      <c r="P187">
        <f>ROUND(CQ187*I187,2)</f>
        <v>35.64</v>
      </c>
      <c r="Q187">
        <f>ROUND(CR187*I187,2)</f>
        <v>752.55</v>
      </c>
      <c r="R187">
        <f>ROUND(CS187*I187,2)</f>
        <v>189.09</v>
      </c>
      <c r="S187">
        <f>ROUND(CT187*I187,2)</f>
        <v>410.08</v>
      </c>
      <c r="T187">
        <f>ROUND(CU187*I187,2)</f>
        <v>0</v>
      </c>
      <c r="U187">
        <f>CV187*I187</f>
        <v>2.5625807999999997</v>
      </c>
      <c r="V187">
        <f>CW187*I187</f>
        <v>0.7851168</v>
      </c>
      <c r="W187">
        <f>ROUND(CX187*I187,2)</f>
        <v>0</v>
      </c>
      <c r="X187">
        <f t="shared" si="95"/>
        <v>665.08</v>
      </c>
      <c r="Y187">
        <f t="shared" si="95"/>
        <v>347.52</v>
      </c>
      <c r="AA187">
        <v>0</v>
      </c>
      <c r="AB187">
        <f>(AC187+AD187+AF187)</f>
        <v>30053.649999999998</v>
      </c>
      <c r="AC187">
        <f t="shared" si="96"/>
        <v>1354.87</v>
      </c>
      <c r="AD187">
        <f t="shared" si="96"/>
        <v>23787.17</v>
      </c>
      <c r="AE187">
        <f t="shared" si="96"/>
        <v>2264.76</v>
      </c>
      <c r="AF187">
        <f t="shared" si="96"/>
        <v>4911.61</v>
      </c>
      <c r="AG187">
        <f>(AP187)</f>
        <v>0</v>
      </c>
      <c r="AH187">
        <f>(EW187)</f>
        <v>547.56</v>
      </c>
      <c r="AI187">
        <f>(EX187)</f>
        <v>167.76</v>
      </c>
      <c r="AJ187">
        <f>(AS187)</f>
        <v>0</v>
      </c>
      <c r="AK187">
        <v>30053.649999999998</v>
      </c>
      <c r="AL187">
        <v>1354.87</v>
      </c>
      <c r="AM187">
        <v>23787.17</v>
      </c>
      <c r="AN187">
        <v>2264.76</v>
      </c>
      <c r="AO187">
        <v>4911.61</v>
      </c>
      <c r="AP187">
        <v>0</v>
      </c>
      <c r="AQ187">
        <v>547.56</v>
      </c>
      <c r="AR187">
        <v>167.76</v>
      </c>
      <c r="AS187">
        <v>0</v>
      </c>
      <c r="AT187">
        <v>111</v>
      </c>
      <c r="AU187">
        <v>58</v>
      </c>
      <c r="AV187">
        <v>1</v>
      </c>
      <c r="AW187">
        <v>1</v>
      </c>
      <c r="AX187">
        <v>1</v>
      </c>
      <c r="AY187">
        <v>1</v>
      </c>
      <c r="AZ187">
        <v>10.67</v>
      </c>
      <c r="BA187">
        <v>17.84</v>
      </c>
      <c r="BB187">
        <v>6.76</v>
      </c>
      <c r="BC187">
        <v>5.62</v>
      </c>
      <c r="BH187">
        <v>0</v>
      </c>
      <c r="BI187">
        <v>1</v>
      </c>
      <c r="BJ187" t="s">
        <v>157</v>
      </c>
      <c r="BM187">
        <v>7002</v>
      </c>
      <c r="BN187">
        <v>0</v>
      </c>
      <c r="BO187" t="s">
        <v>155</v>
      </c>
      <c r="BP187">
        <v>1</v>
      </c>
      <c r="BQ187">
        <v>2</v>
      </c>
      <c r="BR187">
        <v>0</v>
      </c>
      <c r="BS187">
        <v>17.84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130</v>
      </c>
      <c r="CA187">
        <v>85</v>
      </c>
      <c r="CF187">
        <v>0</v>
      </c>
      <c r="CG187">
        <v>0</v>
      </c>
      <c r="CM187">
        <v>0</v>
      </c>
      <c r="CO187">
        <v>0</v>
      </c>
      <c r="CP187">
        <f>(P187+Q187+S187)</f>
        <v>1198.27</v>
      </c>
      <c r="CQ187">
        <f>(AC187)*BC187</f>
        <v>7614.3694</v>
      </c>
      <c r="CR187">
        <f>(AD187)*BB187</f>
        <v>160801.26919999998</v>
      </c>
      <c r="CS187">
        <f>(AE187)*BS187</f>
        <v>40403.318400000004</v>
      </c>
      <c r="CT187">
        <f>(AF187)*BA187</f>
        <v>87623.1224</v>
      </c>
      <c r="CU187">
        <f t="shared" si="97"/>
        <v>0</v>
      </c>
      <c r="CV187">
        <f t="shared" si="97"/>
        <v>547.56</v>
      </c>
      <c r="CW187">
        <f t="shared" si="97"/>
        <v>167.76</v>
      </c>
      <c r="CX187">
        <f t="shared" si="97"/>
        <v>0</v>
      </c>
      <c r="CY187">
        <f>((S187+R187)*(ROUND((FX187*IF(1,(IF(0,0.94,0.85)*IF(0,0.85,1)),1)),IF(1,0,2))/100))</f>
        <v>665.0787</v>
      </c>
      <c r="CZ187">
        <f>((S187+R187)*(ROUND((FY187*IF(1,0.8,1)),IF(1,0,2))/100))</f>
        <v>347.51859999999994</v>
      </c>
      <c r="DN187">
        <v>0</v>
      </c>
      <c r="DO187">
        <v>0</v>
      </c>
      <c r="DP187">
        <v>1</v>
      </c>
      <c r="DQ187">
        <v>1</v>
      </c>
      <c r="DR187">
        <v>1</v>
      </c>
      <c r="DS187">
        <v>1</v>
      </c>
      <c r="DT187">
        <v>1</v>
      </c>
      <c r="DU187">
        <v>1007</v>
      </c>
      <c r="DV187" t="s">
        <v>93</v>
      </c>
      <c r="DW187" t="s">
        <v>158</v>
      </c>
      <c r="DX187">
        <v>100</v>
      </c>
      <c r="EE187">
        <v>26532625</v>
      </c>
      <c r="EF187">
        <v>2</v>
      </c>
      <c r="EG187" t="s">
        <v>22</v>
      </c>
      <c r="EH187">
        <v>0</v>
      </c>
      <c r="EJ187">
        <v>1</v>
      </c>
      <c r="EK187">
        <v>7002</v>
      </c>
      <c r="EL187" t="s">
        <v>159</v>
      </c>
      <c r="EM187" t="s">
        <v>160</v>
      </c>
      <c r="EQ187">
        <v>0</v>
      </c>
      <c r="ER187">
        <v>30053.65</v>
      </c>
      <c r="ES187">
        <v>1354.87</v>
      </c>
      <c r="ET187">
        <v>23787.17</v>
      </c>
      <c r="EU187">
        <v>2264.76</v>
      </c>
      <c r="EV187">
        <v>4911.61</v>
      </c>
      <c r="EW187">
        <v>547.56</v>
      </c>
      <c r="EX187">
        <v>167.76</v>
      </c>
      <c r="EY187">
        <v>0</v>
      </c>
      <c r="EZ187">
        <v>0</v>
      </c>
      <c r="FQ187">
        <v>0</v>
      </c>
      <c r="FR187">
        <f>ROUND(IF(AND(AA187=0,BI187=3),P187,0),2)</f>
        <v>0</v>
      </c>
      <c r="FS187">
        <v>0</v>
      </c>
      <c r="FU187" t="s">
        <v>25</v>
      </c>
      <c r="FV187" t="s">
        <v>26</v>
      </c>
      <c r="FW187" t="s">
        <v>27</v>
      </c>
      <c r="FX187">
        <v>130</v>
      </c>
      <c r="FY187">
        <v>72.25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</row>
    <row r="188" spans="1:193" ht="12.75">
      <c r="A188">
        <v>18</v>
      </c>
      <c r="B188">
        <v>1</v>
      </c>
      <c r="C188">
        <v>170</v>
      </c>
      <c r="E188" t="s">
        <v>161</v>
      </c>
      <c r="F188" t="s">
        <v>162</v>
      </c>
      <c r="G188" t="s">
        <v>163</v>
      </c>
      <c r="H188" t="s">
        <v>41</v>
      </c>
      <c r="I188">
        <f>I187*J188</f>
        <v>2.2500000010799996</v>
      </c>
      <c r="J188">
        <v>480.76923099999993</v>
      </c>
      <c r="O188">
        <f>ROUND(CP188,2)</f>
        <v>3050.73</v>
      </c>
      <c r="P188">
        <f>ROUND(CQ188*I188,2)</f>
        <v>3050.73</v>
      </c>
      <c r="Q188">
        <f>ROUND(CR188*I188,2)</f>
        <v>0</v>
      </c>
      <c r="R188">
        <f>ROUND(CS188*I188,2)</f>
        <v>0</v>
      </c>
      <c r="S188">
        <f>ROUND(CT188*I188,2)</f>
        <v>0</v>
      </c>
      <c r="T188">
        <f>ROUND(CU188*I188,2)</f>
        <v>0</v>
      </c>
      <c r="U188">
        <f>CV188*I188</f>
        <v>0</v>
      </c>
      <c r="V188">
        <f>CW188*I188</f>
        <v>0</v>
      </c>
      <c r="W188">
        <f>ROUND(CX188*I188,2)</f>
        <v>0</v>
      </c>
      <c r="X188">
        <f t="shared" si="95"/>
        <v>0</v>
      </c>
      <c r="Y188">
        <f t="shared" si="95"/>
        <v>0</v>
      </c>
      <c r="AA188">
        <v>0</v>
      </c>
      <c r="AB188">
        <f>(AC188+AD188+AF188)</f>
        <v>375.59</v>
      </c>
      <c r="AC188">
        <f aca="true" t="shared" si="98" ref="AC188:AJ188">AL188</f>
        <v>375.59</v>
      </c>
      <c r="AD188">
        <f t="shared" si="98"/>
        <v>0</v>
      </c>
      <c r="AE188">
        <f t="shared" si="98"/>
        <v>0</v>
      </c>
      <c r="AF188">
        <f t="shared" si="98"/>
        <v>0</v>
      </c>
      <c r="AG188">
        <f t="shared" si="98"/>
        <v>0</v>
      </c>
      <c r="AH188">
        <f t="shared" si="98"/>
        <v>0</v>
      </c>
      <c r="AI188">
        <f t="shared" si="98"/>
        <v>0</v>
      </c>
      <c r="AJ188">
        <f t="shared" si="98"/>
        <v>0</v>
      </c>
      <c r="AK188">
        <v>375.59</v>
      </c>
      <c r="AL188">
        <v>375.59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111</v>
      </c>
      <c r="AU188">
        <v>58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1</v>
      </c>
      <c r="BB188">
        <v>1</v>
      </c>
      <c r="BC188">
        <v>3.61</v>
      </c>
      <c r="BH188">
        <v>3</v>
      </c>
      <c r="BI188">
        <v>1</v>
      </c>
      <c r="BJ188" t="s">
        <v>164</v>
      </c>
      <c r="BM188">
        <v>7002</v>
      </c>
      <c r="BN188">
        <v>0</v>
      </c>
      <c r="BO188" t="s">
        <v>162</v>
      </c>
      <c r="BP188">
        <v>1</v>
      </c>
      <c r="BQ188">
        <v>2</v>
      </c>
      <c r="BR188">
        <v>0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130</v>
      </c>
      <c r="CA188">
        <v>85</v>
      </c>
      <c r="CF188">
        <v>0</v>
      </c>
      <c r="CG188">
        <v>0</v>
      </c>
      <c r="CM188">
        <v>0</v>
      </c>
      <c r="CO188">
        <v>0</v>
      </c>
      <c r="CP188">
        <f>(P188+Q188+S188)</f>
        <v>3050.73</v>
      </c>
      <c r="CQ188">
        <f>(AC188)*BC188</f>
        <v>1355.8799</v>
      </c>
      <c r="CR188">
        <f>(AD188)*BB188</f>
        <v>0</v>
      </c>
      <c r="CS188">
        <f>(AE188)*BS188</f>
        <v>0</v>
      </c>
      <c r="CT188">
        <f>(AF188)*BA188</f>
        <v>0</v>
      </c>
      <c r="CU188">
        <f t="shared" si="97"/>
        <v>0</v>
      </c>
      <c r="CV188">
        <f t="shared" si="97"/>
        <v>0</v>
      </c>
      <c r="CW188">
        <f t="shared" si="97"/>
        <v>0</v>
      </c>
      <c r="CX188">
        <f t="shared" si="97"/>
        <v>0</v>
      </c>
      <c r="CY188">
        <f>((S188+R188)*(ROUND((FX188*IF(1,(IF(0,0.94,0.85)*IF(0,0.85,1)),1)),IF(1,0,2))/100))</f>
        <v>0</v>
      </c>
      <c r="CZ188">
        <f>((S188+R188)*(ROUND((FY188*IF(1,0.8,1)),IF(1,0,2))/100))</f>
        <v>0</v>
      </c>
      <c r="DN188">
        <v>0</v>
      </c>
      <c r="DO188">
        <v>0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1003</v>
      </c>
      <c r="DV188" t="s">
        <v>41</v>
      </c>
      <c r="DW188" t="s">
        <v>41</v>
      </c>
      <c r="DX188">
        <v>1</v>
      </c>
      <c r="EE188">
        <v>26532625</v>
      </c>
      <c r="EF188">
        <v>2</v>
      </c>
      <c r="EG188" t="s">
        <v>22</v>
      </c>
      <c r="EH188">
        <v>0</v>
      </c>
      <c r="EJ188">
        <v>1</v>
      </c>
      <c r="EK188">
        <v>7002</v>
      </c>
      <c r="EL188" t="s">
        <v>159</v>
      </c>
      <c r="EM188" t="s">
        <v>160</v>
      </c>
      <c r="EQ188">
        <v>0</v>
      </c>
      <c r="ER188">
        <v>0</v>
      </c>
      <c r="ES188">
        <v>375.59</v>
      </c>
      <c r="ET188">
        <v>0</v>
      </c>
      <c r="EU188">
        <v>0</v>
      </c>
      <c r="EV188">
        <v>0</v>
      </c>
      <c r="EW188">
        <v>0</v>
      </c>
      <c r="EX188">
        <v>0</v>
      </c>
      <c r="EZ188">
        <v>0</v>
      </c>
      <c r="FQ188">
        <v>0</v>
      </c>
      <c r="FR188">
        <f>ROUND(IF(AND(AA188=0,BI188=3),P188,0),2)</f>
        <v>0</v>
      </c>
      <c r="FS188">
        <v>0</v>
      </c>
      <c r="FU188" t="s">
        <v>25</v>
      </c>
      <c r="FV188" t="s">
        <v>26</v>
      </c>
      <c r="FW188" t="s">
        <v>27</v>
      </c>
      <c r="FX188">
        <v>130</v>
      </c>
      <c r="FY188">
        <v>72.25</v>
      </c>
      <c r="GA188">
        <v>375.59</v>
      </c>
      <c r="GB188">
        <v>375.59</v>
      </c>
      <c r="GC188">
        <v>0</v>
      </c>
      <c r="GD188">
        <v>0</v>
      </c>
      <c r="GE188">
        <v>0</v>
      </c>
      <c r="GF188">
        <v>375.59</v>
      </c>
      <c r="GG188">
        <v>375.59</v>
      </c>
      <c r="GH188">
        <v>0</v>
      </c>
      <c r="GI188">
        <v>0</v>
      </c>
      <c r="GJ188">
        <v>0</v>
      </c>
      <c r="GK188">
        <v>0</v>
      </c>
    </row>
    <row r="189" spans="1:193" ht="12.75">
      <c r="A189">
        <v>17</v>
      </c>
      <c r="B189">
        <v>1</v>
      </c>
      <c r="C189">
        <f>ROW(SmtRes!A176)</f>
        <v>176</v>
      </c>
      <c r="D189">
        <f>ROW(EtalonRes!A173)</f>
        <v>173</v>
      </c>
      <c r="E189" t="s">
        <v>165</v>
      </c>
      <c r="F189" t="s">
        <v>166</v>
      </c>
      <c r="G189" t="s">
        <v>167</v>
      </c>
      <c r="H189" t="s">
        <v>36</v>
      </c>
      <c r="I189">
        <v>3</v>
      </c>
      <c r="J189">
        <v>0</v>
      </c>
      <c r="O189">
        <f>ROUND(CP189,2)</f>
        <v>9737.92</v>
      </c>
      <c r="P189">
        <f>ROUND(CQ189*I189,2)</f>
        <v>8995.55</v>
      </c>
      <c r="Q189">
        <f>ROUND(CR189*I189,2)</f>
        <v>136.52</v>
      </c>
      <c r="R189">
        <f>ROUND(CS189*I189,2)</f>
        <v>0</v>
      </c>
      <c r="S189">
        <f>ROUND(CT189*I189,2)</f>
        <v>605.85</v>
      </c>
      <c r="T189">
        <f>ROUND(CU189*I189,2)</f>
        <v>0</v>
      </c>
      <c r="U189">
        <f>CV189*I189</f>
        <v>3.93</v>
      </c>
      <c r="V189">
        <f>CW189*I189</f>
        <v>0</v>
      </c>
      <c r="W189">
        <f>ROUND(CX189*I189,2)</f>
        <v>0</v>
      </c>
      <c r="X189">
        <f t="shared" si="95"/>
        <v>672.49</v>
      </c>
      <c r="Y189">
        <f t="shared" si="95"/>
        <v>369.57</v>
      </c>
      <c r="AA189">
        <v>0</v>
      </c>
      <c r="AB189">
        <f>(AC189+AD189+AF189)</f>
        <v>587.48</v>
      </c>
      <c r="AC189">
        <f>(ES189)</f>
        <v>570.06</v>
      </c>
      <c r="AD189">
        <f>(ET189)</f>
        <v>6.1</v>
      </c>
      <c r="AE189">
        <f>(EU189)</f>
        <v>0</v>
      </c>
      <c r="AF189">
        <f>(EV189)</f>
        <v>11.32</v>
      </c>
      <c r="AG189">
        <f>(AP189)</f>
        <v>0</v>
      </c>
      <c r="AH189">
        <f>(EW189)</f>
        <v>1.31</v>
      </c>
      <c r="AI189">
        <f>(EX189)</f>
        <v>0</v>
      </c>
      <c r="AJ189">
        <f>(AS189)</f>
        <v>0</v>
      </c>
      <c r="AK189">
        <v>587.48</v>
      </c>
      <c r="AL189">
        <v>570.06</v>
      </c>
      <c r="AM189">
        <v>6.1</v>
      </c>
      <c r="AN189">
        <v>0</v>
      </c>
      <c r="AO189">
        <v>11.32</v>
      </c>
      <c r="AP189">
        <v>0</v>
      </c>
      <c r="AQ189">
        <v>1.31</v>
      </c>
      <c r="AR189">
        <v>0</v>
      </c>
      <c r="AS189">
        <v>0</v>
      </c>
      <c r="AT189">
        <v>111</v>
      </c>
      <c r="AU189">
        <v>61</v>
      </c>
      <c r="AV189">
        <v>1</v>
      </c>
      <c r="AW189">
        <v>1</v>
      </c>
      <c r="AX189">
        <v>1</v>
      </c>
      <c r="AY189">
        <v>1</v>
      </c>
      <c r="AZ189">
        <v>5.9</v>
      </c>
      <c r="BA189">
        <v>17.84</v>
      </c>
      <c r="BB189">
        <v>7.46</v>
      </c>
      <c r="BC189">
        <v>5.26</v>
      </c>
      <c r="BH189">
        <v>0</v>
      </c>
      <c r="BI189">
        <v>1</v>
      </c>
      <c r="BJ189" t="s">
        <v>168</v>
      </c>
      <c r="BM189">
        <v>23001</v>
      </c>
      <c r="BN189">
        <v>0</v>
      </c>
      <c r="BO189" t="s">
        <v>166</v>
      </c>
      <c r="BP189">
        <v>1</v>
      </c>
      <c r="BQ189">
        <v>2</v>
      </c>
      <c r="BR189">
        <v>0</v>
      </c>
      <c r="BS189">
        <v>17.84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130</v>
      </c>
      <c r="CA189">
        <v>89</v>
      </c>
      <c r="CF189">
        <v>0</v>
      </c>
      <c r="CG189">
        <v>0</v>
      </c>
      <c r="CM189">
        <v>0</v>
      </c>
      <c r="CO189">
        <v>0</v>
      </c>
      <c r="CP189">
        <f>(P189+Q189+S189)</f>
        <v>9737.92</v>
      </c>
      <c r="CQ189">
        <f>(AC189)*BC189</f>
        <v>2998.5155999999997</v>
      </c>
      <c r="CR189">
        <f>(AD189)*BB189</f>
        <v>45.506</v>
      </c>
      <c r="CS189">
        <f>(AE189)*BS189</f>
        <v>0</v>
      </c>
      <c r="CT189">
        <f>(AF189)*BA189</f>
        <v>201.9488</v>
      </c>
      <c r="CU189">
        <f t="shared" si="97"/>
        <v>0</v>
      </c>
      <c r="CV189">
        <f t="shared" si="97"/>
        <v>1.31</v>
      </c>
      <c r="CW189">
        <f t="shared" si="97"/>
        <v>0</v>
      </c>
      <c r="CX189">
        <f t="shared" si="97"/>
        <v>0</v>
      </c>
      <c r="CY189">
        <f>((S189+R189)*(ROUND((FX189*IF(1,(IF(0,0.94,0.85)*IF(0,0.85,1)),1)),IF(1,0,2))/100))</f>
        <v>672.4935</v>
      </c>
      <c r="CZ189">
        <f>((S189+R189)*(ROUND((FY189*IF(1,0.8,1)),IF(1,0,2))/100))</f>
        <v>369.56850000000003</v>
      </c>
      <c r="DN189">
        <v>0</v>
      </c>
      <c r="DO189">
        <v>0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1010</v>
      </c>
      <c r="DV189" t="s">
        <v>36</v>
      </c>
      <c r="DW189" t="s">
        <v>36</v>
      </c>
      <c r="DX189">
        <v>1</v>
      </c>
      <c r="EE189">
        <v>26532668</v>
      </c>
      <c r="EF189">
        <v>2</v>
      </c>
      <c r="EG189" t="s">
        <v>22</v>
      </c>
      <c r="EH189">
        <v>0</v>
      </c>
      <c r="EJ189">
        <v>1</v>
      </c>
      <c r="EK189">
        <v>23001</v>
      </c>
      <c r="EL189" t="s">
        <v>169</v>
      </c>
      <c r="EM189" t="s">
        <v>170</v>
      </c>
      <c r="EQ189">
        <v>0</v>
      </c>
      <c r="ER189">
        <v>587.48</v>
      </c>
      <c r="ES189">
        <v>570.06</v>
      </c>
      <c r="ET189">
        <v>6.1</v>
      </c>
      <c r="EU189">
        <v>0</v>
      </c>
      <c r="EV189">
        <v>11.32</v>
      </c>
      <c r="EW189">
        <v>1.31</v>
      </c>
      <c r="EX189">
        <v>0</v>
      </c>
      <c r="EY189">
        <v>0</v>
      </c>
      <c r="EZ189">
        <v>0</v>
      </c>
      <c r="FQ189">
        <v>0</v>
      </c>
      <c r="FR189">
        <f>ROUND(IF(AND(AA189=0,BI189=3),P189,0),2)</f>
        <v>0</v>
      </c>
      <c r="FS189">
        <v>0</v>
      </c>
      <c r="FU189" t="s">
        <v>25</v>
      </c>
      <c r="FV189" t="s">
        <v>26</v>
      </c>
      <c r="FW189" t="s">
        <v>27</v>
      </c>
      <c r="FX189">
        <v>130</v>
      </c>
      <c r="FY189">
        <v>75.65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</row>
    <row r="190" spans="1:193" ht="12.75">
      <c r="A190">
        <v>18</v>
      </c>
      <c r="B190">
        <v>1</v>
      </c>
      <c r="C190">
        <v>175</v>
      </c>
      <c r="E190" t="s">
        <v>171</v>
      </c>
      <c r="F190" t="s">
        <v>172</v>
      </c>
      <c r="G190" t="s">
        <v>173</v>
      </c>
      <c r="H190" t="s">
        <v>36</v>
      </c>
      <c r="I190">
        <f>I189*J190</f>
        <v>-3</v>
      </c>
      <c r="J190">
        <v>-1</v>
      </c>
      <c r="O190">
        <f>ROUND(CP190,2)</f>
        <v>-8987.18</v>
      </c>
      <c r="P190">
        <f>ROUND(CQ190*I190,2)</f>
        <v>-8987.18</v>
      </c>
      <c r="Q190">
        <f>ROUND(CR190*I190,2)</f>
        <v>0</v>
      </c>
      <c r="R190">
        <f>ROUND(CS190*I190,2)</f>
        <v>0</v>
      </c>
      <c r="S190">
        <f>ROUND(CT190*I190,2)</f>
        <v>0</v>
      </c>
      <c r="T190">
        <f>ROUND(CU190*I190,2)</f>
        <v>0</v>
      </c>
      <c r="U190">
        <f>CV190*I190</f>
        <v>0</v>
      </c>
      <c r="V190">
        <f>CW190*I190</f>
        <v>0</v>
      </c>
      <c r="W190">
        <f>ROUND(CX190*I190,2)</f>
        <v>0</v>
      </c>
      <c r="X190">
        <f t="shared" si="95"/>
        <v>0</v>
      </c>
      <c r="Y190">
        <f t="shared" si="95"/>
        <v>0</v>
      </c>
      <c r="AA190">
        <v>0</v>
      </c>
      <c r="AB190">
        <f>(AC190+AD190+AF190)</f>
        <v>569.53</v>
      </c>
      <c r="AC190">
        <f aca="true" t="shared" si="99" ref="AC190:AJ190">AL190</f>
        <v>569.53</v>
      </c>
      <c r="AD190">
        <f t="shared" si="99"/>
        <v>0</v>
      </c>
      <c r="AE190">
        <f t="shared" si="99"/>
        <v>0</v>
      </c>
      <c r="AF190">
        <f t="shared" si="99"/>
        <v>0</v>
      </c>
      <c r="AG190">
        <f t="shared" si="99"/>
        <v>0</v>
      </c>
      <c r="AH190">
        <f t="shared" si="99"/>
        <v>0</v>
      </c>
      <c r="AI190">
        <f t="shared" si="99"/>
        <v>0</v>
      </c>
      <c r="AJ190">
        <f t="shared" si="99"/>
        <v>0</v>
      </c>
      <c r="AK190">
        <v>569.53</v>
      </c>
      <c r="AL190">
        <v>569.53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111</v>
      </c>
      <c r="AU190">
        <v>61</v>
      </c>
      <c r="AV190">
        <v>1</v>
      </c>
      <c r="AW190">
        <v>1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5.26</v>
      </c>
      <c r="BH190">
        <v>3</v>
      </c>
      <c r="BI190">
        <v>1</v>
      </c>
      <c r="BJ190" t="s">
        <v>174</v>
      </c>
      <c r="BM190">
        <v>23001</v>
      </c>
      <c r="BN190">
        <v>0</v>
      </c>
      <c r="BO190" t="s">
        <v>172</v>
      </c>
      <c r="BP190">
        <v>1</v>
      </c>
      <c r="BQ190">
        <v>2</v>
      </c>
      <c r="BR190">
        <v>0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130</v>
      </c>
      <c r="CA190">
        <v>89</v>
      </c>
      <c r="CF190">
        <v>0</v>
      </c>
      <c r="CG190">
        <v>0</v>
      </c>
      <c r="CM190">
        <v>0</v>
      </c>
      <c r="CO190">
        <v>0</v>
      </c>
      <c r="CP190">
        <f>(P190+Q190+S190)</f>
        <v>-8987.18</v>
      </c>
      <c r="CQ190">
        <f>(AC190)*BC190</f>
        <v>2995.7277999999997</v>
      </c>
      <c r="CR190">
        <f>(AD190)*BB190</f>
        <v>0</v>
      </c>
      <c r="CS190">
        <f>(AE190)*BS190</f>
        <v>0</v>
      </c>
      <c r="CT190">
        <f>(AF190)*BA190</f>
        <v>0</v>
      </c>
      <c r="CU190">
        <f t="shared" si="97"/>
        <v>0</v>
      </c>
      <c r="CV190">
        <f t="shared" si="97"/>
        <v>0</v>
      </c>
      <c r="CW190">
        <f t="shared" si="97"/>
        <v>0</v>
      </c>
      <c r="CX190">
        <f t="shared" si="97"/>
        <v>0</v>
      </c>
      <c r="CY190">
        <f>((S190+R190)*(ROUND((FX190*IF(1,(IF(0,0.94,0.85)*IF(0,0.85,1)),1)),IF(1,0,2))/100))</f>
        <v>0</v>
      </c>
      <c r="CZ190">
        <f>((S190+R190)*(ROUND((FY190*IF(1,0.8,1)),IF(1,0,2))/100))</f>
        <v>0</v>
      </c>
      <c r="DN190">
        <v>0</v>
      </c>
      <c r="DO190">
        <v>0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1010</v>
      </c>
      <c r="DV190" t="s">
        <v>36</v>
      </c>
      <c r="DW190" t="s">
        <v>36</v>
      </c>
      <c r="DX190">
        <v>1</v>
      </c>
      <c r="EE190">
        <v>26532668</v>
      </c>
      <c r="EF190">
        <v>2</v>
      </c>
      <c r="EG190" t="s">
        <v>22</v>
      </c>
      <c r="EH190">
        <v>0</v>
      </c>
      <c r="EJ190">
        <v>1</v>
      </c>
      <c r="EK190">
        <v>23001</v>
      </c>
      <c r="EL190" t="s">
        <v>169</v>
      </c>
      <c r="EM190" t="s">
        <v>170</v>
      </c>
      <c r="EQ190">
        <v>0</v>
      </c>
      <c r="ER190">
        <v>569.53</v>
      </c>
      <c r="ES190">
        <v>569.53</v>
      </c>
      <c r="ET190">
        <v>0</v>
      </c>
      <c r="EU190">
        <v>0</v>
      </c>
      <c r="EV190">
        <v>0</v>
      </c>
      <c r="EW190">
        <v>0</v>
      </c>
      <c r="EX190">
        <v>0</v>
      </c>
      <c r="EZ190">
        <v>0</v>
      </c>
      <c r="FQ190">
        <v>0</v>
      </c>
      <c r="FR190">
        <f>ROUND(IF(AND(AA190=0,BI190=3),P190,0),2)</f>
        <v>0</v>
      </c>
      <c r="FS190">
        <v>0</v>
      </c>
      <c r="FU190" t="s">
        <v>25</v>
      </c>
      <c r="FV190" t="s">
        <v>26</v>
      </c>
      <c r="FW190" t="s">
        <v>27</v>
      </c>
      <c r="FX190">
        <v>130</v>
      </c>
      <c r="FY190">
        <v>75.65</v>
      </c>
      <c r="GA190">
        <v>569.53</v>
      </c>
      <c r="GB190">
        <v>569.53</v>
      </c>
      <c r="GC190">
        <v>0</v>
      </c>
      <c r="GD190">
        <v>0</v>
      </c>
      <c r="GE190">
        <v>0</v>
      </c>
      <c r="GF190">
        <v>569.53</v>
      </c>
      <c r="GG190">
        <v>569.53</v>
      </c>
      <c r="GH190">
        <v>0</v>
      </c>
      <c r="GI190">
        <v>0</v>
      </c>
      <c r="GJ190">
        <v>0</v>
      </c>
      <c r="GK190">
        <v>0</v>
      </c>
    </row>
    <row r="192" spans="1:43" ht="12.75">
      <c r="A192" s="2">
        <v>51</v>
      </c>
      <c r="B192" s="2">
        <f>B182</f>
        <v>1</v>
      </c>
      <c r="C192" s="2">
        <f>A182</f>
        <v>4</v>
      </c>
      <c r="D192" s="2">
        <f>ROW(A182)</f>
        <v>182</v>
      </c>
      <c r="E192" s="2"/>
      <c r="F192" s="2" t="str">
        <f>IF(F182&lt;&gt;"",F182,"")</f>
        <v>Новый раздел</v>
      </c>
      <c r="G192" s="2" t="str">
        <f>IF(G182&lt;&gt;"",G182,"")</f>
        <v>Ремонт колодцев</v>
      </c>
      <c r="H192" s="2"/>
      <c r="I192" s="2"/>
      <c r="J192" s="2"/>
      <c r="K192" s="2"/>
      <c r="L192" s="2"/>
      <c r="M192" s="2"/>
      <c r="N192" s="2"/>
      <c r="O192" s="2">
        <f aca="true" t="shared" si="100" ref="O192:Y192">ROUND(AB192,2)</f>
        <v>5955.61</v>
      </c>
      <c r="P192" s="2">
        <f t="shared" si="100"/>
        <v>3094.74</v>
      </c>
      <c r="Q192" s="2">
        <f t="shared" si="100"/>
        <v>889.07</v>
      </c>
      <c r="R192" s="2">
        <f t="shared" si="100"/>
        <v>189.09</v>
      </c>
      <c r="S192" s="2">
        <f t="shared" si="100"/>
        <v>1971.8</v>
      </c>
      <c r="T192" s="2">
        <f t="shared" si="100"/>
        <v>0</v>
      </c>
      <c r="U192" s="2">
        <f t="shared" si="100"/>
        <v>13.3</v>
      </c>
      <c r="V192" s="2">
        <f t="shared" si="100"/>
        <v>0.79</v>
      </c>
      <c r="W192" s="2">
        <f t="shared" si="100"/>
        <v>0</v>
      </c>
      <c r="X192" s="2">
        <f t="shared" si="100"/>
        <v>1939.77</v>
      </c>
      <c r="Y192" s="2">
        <f t="shared" si="100"/>
        <v>1099.44</v>
      </c>
      <c r="Z192" s="2"/>
      <c r="AA192" s="2"/>
      <c r="AB192" s="2">
        <f>ROUND(SUMIF(AA186:AA190,"=0",O186:O190),2)</f>
        <v>5955.61</v>
      </c>
      <c r="AC192" s="2">
        <f>ROUND(SUMIF(AA186:AA190,"=0",P186:P190),2)</f>
        <v>3094.74</v>
      </c>
      <c r="AD192" s="2">
        <f>ROUND(SUMIF(AA186:AA190,"=0",Q186:Q190),2)</f>
        <v>889.07</v>
      </c>
      <c r="AE192" s="2">
        <f>ROUND(SUMIF(AA186:AA190,"=0",R186:R190),2)</f>
        <v>189.09</v>
      </c>
      <c r="AF192" s="2">
        <f>ROUND(SUMIF(AA186:AA190,"=0",S186:S190),2)</f>
        <v>1971.8</v>
      </c>
      <c r="AG192" s="2">
        <f>ROUND(SUMIF(AA186:AA190,"=0",T186:T190),2)</f>
        <v>0</v>
      </c>
      <c r="AH192" s="2">
        <f>ROUND(SUMIF(AA186:AA190,"=0",U186:U190),2)</f>
        <v>13.3</v>
      </c>
      <c r="AI192" s="2">
        <f>ROUND(SUMIF(AA186:AA190,"=0",V186:V190),2)</f>
        <v>0.79</v>
      </c>
      <c r="AJ192" s="2">
        <f>ROUND(SUMIF(AA186:AA190,"=0",W186:W190),2)</f>
        <v>0</v>
      </c>
      <c r="AK192" s="2">
        <f>ROUND(SUMIF(AA186:AA190,"=0",X186:X190),2)</f>
        <v>1939.77</v>
      </c>
      <c r="AL192" s="2">
        <f>ROUND(SUMIF(AA186:AA190,"=0",Y186:Y190),2)</f>
        <v>1099.44</v>
      </c>
      <c r="AM192" s="2"/>
      <c r="AN192" s="2">
        <f>ROUND(AO192,2)</f>
        <v>0</v>
      </c>
      <c r="AO192" s="2">
        <f>ROUND(SUMIF(AA186:AA190,"=0",FQ186:FQ190),2)</f>
        <v>0</v>
      </c>
      <c r="AP192" s="2">
        <f>ROUND(AQ192,2)</f>
        <v>0</v>
      </c>
      <c r="AQ192" s="2">
        <f>ROUND(SUM(FR186:FR190),2)</f>
        <v>0</v>
      </c>
    </row>
    <row r="194" spans="1:14" ht="12.75">
      <c r="A194" s="3">
        <v>50</v>
      </c>
      <c r="B194" s="3">
        <v>0</v>
      </c>
      <c r="C194" s="3">
        <v>0</v>
      </c>
      <c r="D194" s="3">
        <v>1</v>
      </c>
      <c r="E194" s="3">
        <v>201</v>
      </c>
      <c r="F194" s="3">
        <f>Source!O192</f>
        <v>5955.61</v>
      </c>
      <c r="G194" s="3" t="s">
        <v>49</v>
      </c>
      <c r="H194" s="3" t="s">
        <v>50</v>
      </c>
      <c r="I194" s="3"/>
      <c r="J194" s="3"/>
      <c r="K194" s="3">
        <v>201</v>
      </c>
      <c r="L194" s="3">
        <v>1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1</v>
      </c>
      <c r="E195" s="3">
        <v>202</v>
      </c>
      <c r="F195" s="3">
        <f>Source!P192</f>
        <v>3094.74</v>
      </c>
      <c r="G195" s="3" t="s">
        <v>51</v>
      </c>
      <c r="H195" s="3" t="s">
        <v>52</v>
      </c>
      <c r="I195" s="3"/>
      <c r="J195" s="3"/>
      <c r="K195" s="3">
        <v>202</v>
      </c>
      <c r="L195" s="3">
        <v>2</v>
      </c>
      <c r="M195" s="3">
        <v>3</v>
      </c>
      <c r="N195" s="3" t="s">
        <v>3</v>
      </c>
    </row>
    <row r="196" spans="1:14" ht="12.75">
      <c r="A196" s="3">
        <v>50</v>
      </c>
      <c r="B196" s="3">
        <v>0</v>
      </c>
      <c r="C196" s="3">
        <v>0</v>
      </c>
      <c r="D196" s="3">
        <v>1</v>
      </c>
      <c r="E196" s="3">
        <v>222</v>
      </c>
      <c r="F196" s="3">
        <f>Source!AN192</f>
        <v>0</v>
      </c>
      <c r="G196" s="3" t="s">
        <v>53</v>
      </c>
      <c r="H196" s="3" t="s">
        <v>54</v>
      </c>
      <c r="I196" s="3"/>
      <c r="J196" s="3"/>
      <c r="K196" s="3">
        <v>222</v>
      </c>
      <c r="L196" s="3">
        <v>3</v>
      </c>
      <c r="M196" s="3">
        <v>3</v>
      </c>
      <c r="N196" s="3" t="s">
        <v>3</v>
      </c>
    </row>
    <row r="197" spans="1:14" ht="12.75">
      <c r="A197" s="3">
        <v>50</v>
      </c>
      <c r="B197" s="3">
        <v>0</v>
      </c>
      <c r="C197" s="3">
        <v>0</v>
      </c>
      <c r="D197" s="3">
        <v>1</v>
      </c>
      <c r="E197" s="3">
        <v>216</v>
      </c>
      <c r="F197" s="3">
        <f>Source!AP192</f>
        <v>0</v>
      </c>
      <c r="G197" s="3" t="s">
        <v>55</v>
      </c>
      <c r="H197" s="3" t="s">
        <v>56</v>
      </c>
      <c r="I197" s="3"/>
      <c r="J197" s="3"/>
      <c r="K197" s="3">
        <v>216</v>
      </c>
      <c r="L197" s="3">
        <v>4</v>
      </c>
      <c r="M197" s="3">
        <v>3</v>
      </c>
      <c r="N197" s="3" t="s">
        <v>3</v>
      </c>
    </row>
    <row r="198" spans="1:14" ht="12.75">
      <c r="A198" s="3">
        <v>50</v>
      </c>
      <c r="B198" s="3">
        <v>0</v>
      </c>
      <c r="C198" s="3">
        <v>0</v>
      </c>
      <c r="D198" s="3">
        <v>1</v>
      </c>
      <c r="E198" s="3">
        <v>203</v>
      </c>
      <c r="F198" s="3">
        <f>Source!Q192</f>
        <v>889.07</v>
      </c>
      <c r="G198" s="3" t="s">
        <v>57</v>
      </c>
      <c r="H198" s="3" t="s">
        <v>58</v>
      </c>
      <c r="I198" s="3"/>
      <c r="J198" s="3"/>
      <c r="K198" s="3">
        <v>203</v>
      </c>
      <c r="L198" s="3">
        <v>5</v>
      </c>
      <c r="M198" s="3">
        <v>3</v>
      </c>
      <c r="N198" s="3" t="s">
        <v>3</v>
      </c>
    </row>
    <row r="199" spans="1:14" ht="12.75">
      <c r="A199" s="3">
        <v>50</v>
      </c>
      <c r="B199" s="3">
        <v>0</v>
      </c>
      <c r="C199" s="3">
        <v>0</v>
      </c>
      <c r="D199" s="3">
        <v>1</v>
      </c>
      <c r="E199" s="3">
        <v>204</v>
      </c>
      <c r="F199" s="3">
        <f>Source!R192</f>
        <v>189.09</v>
      </c>
      <c r="G199" s="3" t="s">
        <v>59</v>
      </c>
      <c r="H199" s="3" t="s">
        <v>60</v>
      </c>
      <c r="I199" s="3"/>
      <c r="J199" s="3"/>
      <c r="K199" s="3">
        <v>204</v>
      </c>
      <c r="L199" s="3">
        <v>6</v>
      </c>
      <c r="M199" s="3">
        <v>3</v>
      </c>
      <c r="N199" s="3" t="s">
        <v>3</v>
      </c>
    </row>
    <row r="200" spans="1:14" ht="12.75">
      <c r="A200" s="3">
        <v>50</v>
      </c>
      <c r="B200" s="3">
        <v>0</v>
      </c>
      <c r="C200" s="3">
        <v>0</v>
      </c>
      <c r="D200" s="3">
        <v>1</v>
      </c>
      <c r="E200" s="3">
        <v>205</v>
      </c>
      <c r="F200" s="3">
        <f>Source!S192</f>
        <v>1971.8</v>
      </c>
      <c r="G200" s="3" t="s">
        <v>61</v>
      </c>
      <c r="H200" s="3" t="s">
        <v>62</v>
      </c>
      <c r="I200" s="3"/>
      <c r="J200" s="3"/>
      <c r="K200" s="3">
        <v>205</v>
      </c>
      <c r="L200" s="3">
        <v>7</v>
      </c>
      <c r="M200" s="3">
        <v>3</v>
      </c>
      <c r="N200" s="3" t="s">
        <v>3</v>
      </c>
    </row>
    <row r="201" spans="1:14" ht="12.75">
      <c r="A201" s="3">
        <v>50</v>
      </c>
      <c r="B201" s="3">
        <v>0</v>
      </c>
      <c r="C201" s="3">
        <v>0</v>
      </c>
      <c r="D201" s="3">
        <v>1</v>
      </c>
      <c r="E201" s="3">
        <v>206</v>
      </c>
      <c r="F201" s="3">
        <f>Source!T192</f>
        <v>0</v>
      </c>
      <c r="G201" s="3" t="s">
        <v>63</v>
      </c>
      <c r="H201" s="3" t="s">
        <v>64</v>
      </c>
      <c r="I201" s="3"/>
      <c r="J201" s="3"/>
      <c r="K201" s="3">
        <v>206</v>
      </c>
      <c r="L201" s="3">
        <v>8</v>
      </c>
      <c r="M201" s="3">
        <v>3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1</v>
      </c>
      <c r="E202" s="3">
        <v>207</v>
      </c>
      <c r="F202" s="3">
        <f>Source!U192</f>
        <v>13.3</v>
      </c>
      <c r="G202" s="3" t="s">
        <v>65</v>
      </c>
      <c r="H202" s="3" t="s">
        <v>66</v>
      </c>
      <c r="I202" s="3"/>
      <c r="J202" s="3"/>
      <c r="K202" s="3">
        <v>207</v>
      </c>
      <c r="L202" s="3">
        <v>9</v>
      </c>
      <c r="M202" s="3">
        <v>3</v>
      </c>
      <c r="N202" s="3" t="s">
        <v>3</v>
      </c>
    </row>
    <row r="203" spans="1:14" ht="12.75">
      <c r="A203" s="3">
        <v>50</v>
      </c>
      <c r="B203" s="3">
        <v>0</v>
      </c>
      <c r="C203" s="3">
        <v>0</v>
      </c>
      <c r="D203" s="3">
        <v>1</v>
      </c>
      <c r="E203" s="3">
        <v>208</v>
      </c>
      <c r="F203" s="3">
        <f>Source!V192</f>
        <v>0.79</v>
      </c>
      <c r="G203" s="3" t="s">
        <v>67</v>
      </c>
      <c r="H203" s="3" t="s">
        <v>68</v>
      </c>
      <c r="I203" s="3"/>
      <c r="J203" s="3"/>
      <c r="K203" s="3">
        <v>208</v>
      </c>
      <c r="L203" s="3">
        <v>10</v>
      </c>
      <c r="M203" s="3">
        <v>3</v>
      </c>
      <c r="N203" s="3" t="s">
        <v>3</v>
      </c>
    </row>
    <row r="204" spans="1:14" ht="12.75">
      <c r="A204" s="3">
        <v>50</v>
      </c>
      <c r="B204" s="3">
        <v>0</v>
      </c>
      <c r="C204" s="3">
        <v>0</v>
      </c>
      <c r="D204" s="3">
        <v>1</v>
      </c>
      <c r="E204" s="3">
        <v>209</v>
      </c>
      <c r="F204" s="3">
        <f>Source!W192</f>
        <v>0</v>
      </c>
      <c r="G204" s="3" t="s">
        <v>69</v>
      </c>
      <c r="H204" s="3" t="s">
        <v>70</v>
      </c>
      <c r="I204" s="3"/>
      <c r="J204" s="3"/>
      <c r="K204" s="3">
        <v>209</v>
      </c>
      <c r="L204" s="3">
        <v>11</v>
      </c>
      <c r="M204" s="3">
        <v>3</v>
      </c>
      <c r="N204" s="3" t="s">
        <v>3</v>
      </c>
    </row>
    <row r="205" spans="1:14" ht="12.75">
      <c r="A205" s="3">
        <v>50</v>
      </c>
      <c r="B205" s="3">
        <v>0</v>
      </c>
      <c r="C205" s="3">
        <v>0</v>
      </c>
      <c r="D205" s="3">
        <v>1</v>
      </c>
      <c r="E205" s="3">
        <v>210</v>
      </c>
      <c r="F205" s="3">
        <f>Source!X192</f>
        <v>1939.77</v>
      </c>
      <c r="G205" s="3" t="s">
        <v>71</v>
      </c>
      <c r="H205" s="3" t="s">
        <v>72</v>
      </c>
      <c r="I205" s="3"/>
      <c r="J205" s="3"/>
      <c r="K205" s="3">
        <v>210</v>
      </c>
      <c r="L205" s="3">
        <v>12</v>
      </c>
      <c r="M205" s="3">
        <v>3</v>
      </c>
      <c r="N205" s="3" t="s">
        <v>3</v>
      </c>
    </row>
    <row r="206" spans="1:14" ht="12.75">
      <c r="A206" s="3">
        <v>50</v>
      </c>
      <c r="B206" s="3">
        <v>0</v>
      </c>
      <c r="C206" s="3">
        <v>0</v>
      </c>
      <c r="D206" s="3">
        <v>1</v>
      </c>
      <c r="E206" s="3">
        <v>211</v>
      </c>
      <c r="F206" s="3">
        <f>Source!Y192</f>
        <v>1099.44</v>
      </c>
      <c r="G206" s="3" t="s">
        <v>73</v>
      </c>
      <c r="H206" s="3" t="s">
        <v>74</v>
      </c>
      <c r="I206" s="3"/>
      <c r="J206" s="3"/>
      <c r="K206" s="3">
        <v>211</v>
      </c>
      <c r="L206" s="3">
        <v>13</v>
      </c>
      <c r="M206" s="3">
        <v>3</v>
      </c>
      <c r="N206" s="3" t="s">
        <v>3</v>
      </c>
    </row>
    <row r="208" spans="1:43" ht="12.75">
      <c r="A208" s="2">
        <v>51</v>
      </c>
      <c r="B208" s="2">
        <f>B20</f>
        <v>1</v>
      </c>
      <c r="C208" s="2">
        <f>A20</f>
        <v>3</v>
      </c>
      <c r="D208" s="2">
        <f>ROW(A20)</f>
        <v>20</v>
      </c>
      <c r="E208" s="2"/>
      <c r="F208" s="2" t="str">
        <f>IF(F20&lt;&gt;"",F20,"")</f>
        <v>Новая локальная смета</v>
      </c>
      <c r="G208" s="2" t="str">
        <f>IF(G20&lt;&gt;"",G20,"")</f>
        <v>Новая локальная смета</v>
      </c>
      <c r="H208" s="2"/>
      <c r="I208" s="2"/>
      <c r="J208" s="2"/>
      <c r="K208" s="2"/>
      <c r="L208" s="2"/>
      <c r="M208" s="2"/>
      <c r="N208" s="2"/>
      <c r="O208" s="2">
        <f aca="true" t="shared" si="101" ref="O208:Y208">ROUND(O36+O63+O88+O113+O138+O166+O192+AB208,2)</f>
        <v>752421.97</v>
      </c>
      <c r="P208" s="2">
        <f t="shared" si="101"/>
        <v>640677.32</v>
      </c>
      <c r="Q208" s="2">
        <f t="shared" si="101"/>
        <v>65324.28</v>
      </c>
      <c r="R208" s="2">
        <f t="shared" si="101"/>
        <v>15974.95</v>
      </c>
      <c r="S208" s="2">
        <f t="shared" si="101"/>
        <v>46420.37</v>
      </c>
      <c r="T208" s="2">
        <f t="shared" si="101"/>
        <v>0</v>
      </c>
      <c r="U208" s="2">
        <f t="shared" si="101"/>
        <v>309.56</v>
      </c>
      <c r="V208" s="2">
        <f t="shared" si="101"/>
        <v>65.88</v>
      </c>
      <c r="W208" s="2">
        <f t="shared" si="101"/>
        <v>0</v>
      </c>
      <c r="X208" s="2">
        <f t="shared" si="101"/>
        <v>74485.67</v>
      </c>
      <c r="Y208" s="2">
        <f t="shared" si="101"/>
        <v>39990.08</v>
      </c>
      <c r="Z208" s="2"/>
      <c r="AA208" s="2"/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/>
      <c r="AN208" s="2">
        <f>ROUND(AN36+AN63+AN88+AN113+AN138+AN166+AN192+AO208,2)</f>
        <v>0</v>
      </c>
      <c r="AO208" s="2">
        <v>0</v>
      </c>
      <c r="AP208" s="2">
        <f>ROUND(AP36+AP63+AP88+AP113+AP138+AP166+AP192+AQ208,2)</f>
        <v>0</v>
      </c>
      <c r="AQ208" s="2">
        <v>0</v>
      </c>
    </row>
    <row r="210" spans="1:14" ht="12.75">
      <c r="A210" s="3">
        <v>50</v>
      </c>
      <c r="B210" s="3">
        <v>0</v>
      </c>
      <c r="C210" s="3">
        <v>0</v>
      </c>
      <c r="D210" s="3">
        <v>1</v>
      </c>
      <c r="E210" s="3">
        <v>201</v>
      </c>
      <c r="F210" s="3">
        <f>Source!O208</f>
        <v>752421.97</v>
      </c>
      <c r="G210" s="3" t="s">
        <v>49</v>
      </c>
      <c r="H210" s="3" t="s">
        <v>50</v>
      </c>
      <c r="I210" s="3"/>
      <c r="J210" s="3"/>
      <c r="K210" s="3">
        <v>201</v>
      </c>
      <c r="L210" s="3">
        <v>1</v>
      </c>
      <c r="M210" s="3">
        <v>3</v>
      </c>
      <c r="N210" s="3" t="s">
        <v>3</v>
      </c>
    </row>
    <row r="211" spans="1:14" ht="12.75">
      <c r="A211" s="3">
        <v>50</v>
      </c>
      <c r="B211" s="3">
        <v>0</v>
      </c>
      <c r="C211" s="3">
        <v>0</v>
      </c>
      <c r="D211" s="3">
        <v>1</v>
      </c>
      <c r="E211" s="3">
        <v>202</v>
      </c>
      <c r="F211" s="3">
        <f>Source!P208</f>
        <v>640677.32</v>
      </c>
      <c r="G211" s="3" t="s">
        <v>51</v>
      </c>
      <c r="H211" s="3" t="s">
        <v>52</v>
      </c>
      <c r="I211" s="3"/>
      <c r="J211" s="3"/>
      <c r="K211" s="3">
        <v>202</v>
      </c>
      <c r="L211" s="3">
        <v>2</v>
      </c>
      <c r="M211" s="3">
        <v>3</v>
      </c>
      <c r="N211" s="3" t="s">
        <v>3</v>
      </c>
    </row>
    <row r="212" spans="1:14" ht="12.75">
      <c r="A212" s="3">
        <v>50</v>
      </c>
      <c r="B212" s="3">
        <v>0</v>
      </c>
      <c r="C212" s="3">
        <v>0</v>
      </c>
      <c r="D212" s="3">
        <v>1</v>
      </c>
      <c r="E212" s="3">
        <v>222</v>
      </c>
      <c r="F212" s="3">
        <f>Source!AN208</f>
        <v>0</v>
      </c>
      <c r="G212" s="3" t="s">
        <v>53</v>
      </c>
      <c r="H212" s="3" t="s">
        <v>54</v>
      </c>
      <c r="I212" s="3"/>
      <c r="J212" s="3"/>
      <c r="K212" s="3">
        <v>222</v>
      </c>
      <c r="L212" s="3">
        <v>3</v>
      </c>
      <c r="M212" s="3">
        <v>3</v>
      </c>
      <c r="N212" s="3" t="s">
        <v>3</v>
      </c>
    </row>
    <row r="213" spans="1:14" ht="12.75">
      <c r="A213" s="3">
        <v>50</v>
      </c>
      <c r="B213" s="3">
        <v>0</v>
      </c>
      <c r="C213" s="3">
        <v>0</v>
      </c>
      <c r="D213" s="3">
        <v>1</v>
      </c>
      <c r="E213" s="3">
        <v>216</v>
      </c>
      <c r="F213" s="3">
        <f>Source!AP208</f>
        <v>0</v>
      </c>
      <c r="G213" s="3" t="s">
        <v>55</v>
      </c>
      <c r="H213" s="3" t="s">
        <v>56</v>
      </c>
      <c r="I213" s="3"/>
      <c r="J213" s="3"/>
      <c r="K213" s="3">
        <v>216</v>
      </c>
      <c r="L213" s="3">
        <v>4</v>
      </c>
      <c r="M213" s="3">
        <v>3</v>
      </c>
      <c r="N213" s="3" t="s">
        <v>3</v>
      </c>
    </row>
    <row r="214" spans="1:14" ht="12.75">
      <c r="A214" s="3">
        <v>50</v>
      </c>
      <c r="B214" s="3">
        <v>0</v>
      </c>
      <c r="C214" s="3">
        <v>0</v>
      </c>
      <c r="D214" s="3">
        <v>1</v>
      </c>
      <c r="E214" s="3">
        <v>203</v>
      </c>
      <c r="F214" s="3">
        <f>Source!Q208</f>
        <v>65324.28</v>
      </c>
      <c r="G214" s="3" t="s">
        <v>57</v>
      </c>
      <c r="H214" s="3" t="s">
        <v>58</v>
      </c>
      <c r="I214" s="3"/>
      <c r="J214" s="3"/>
      <c r="K214" s="3">
        <v>203</v>
      </c>
      <c r="L214" s="3">
        <v>5</v>
      </c>
      <c r="M214" s="3">
        <v>3</v>
      </c>
      <c r="N214" s="3" t="s">
        <v>3</v>
      </c>
    </row>
    <row r="215" spans="1:14" ht="12.75">
      <c r="A215" s="3">
        <v>50</v>
      </c>
      <c r="B215" s="3">
        <v>0</v>
      </c>
      <c r="C215" s="3">
        <v>0</v>
      </c>
      <c r="D215" s="3">
        <v>1</v>
      </c>
      <c r="E215" s="3">
        <v>204</v>
      </c>
      <c r="F215" s="3">
        <f>Source!R208</f>
        <v>15974.95</v>
      </c>
      <c r="G215" s="3" t="s">
        <v>59</v>
      </c>
      <c r="H215" s="3" t="s">
        <v>60</v>
      </c>
      <c r="I215" s="3"/>
      <c r="J215" s="3"/>
      <c r="K215" s="3">
        <v>204</v>
      </c>
      <c r="L215" s="3">
        <v>6</v>
      </c>
      <c r="M215" s="3">
        <v>3</v>
      </c>
      <c r="N215" s="3" t="s">
        <v>3</v>
      </c>
    </row>
    <row r="216" spans="1:14" ht="12.75">
      <c r="A216" s="3">
        <v>50</v>
      </c>
      <c r="B216" s="3">
        <v>0</v>
      </c>
      <c r="C216" s="3">
        <v>0</v>
      </c>
      <c r="D216" s="3">
        <v>1</v>
      </c>
      <c r="E216" s="3">
        <v>205</v>
      </c>
      <c r="F216" s="3">
        <f>Source!S208</f>
        <v>46420.37</v>
      </c>
      <c r="G216" s="3" t="s">
        <v>61</v>
      </c>
      <c r="H216" s="3" t="s">
        <v>62</v>
      </c>
      <c r="I216" s="3"/>
      <c r="J216" s="3"/>
      <c r="K216" s="3">
        <v>205</v>
      </c>
      <c r="L216" s="3">
        <v>7</v>
      </c>
      <c r="M216" s="3">
        <v>3</v>
      </c>
      <c r="N216" s="3" t="s">
        <v>3</v>
      </c>
    </row>
    <row r="217" spans="1:14" ht="12.75">
      <c r="A217" s="3">
        <v>50</v>
      </c>
      <c r="B217" s="3">
        <v>0</v>
      </c>
      <c r="C217" s="3">
        <v>0</v>
      </c>
      <c r="D217" s="3">
        <v>1</v>
      </c>
      <c r="E217" s="3">
        <v>206</v>
      </c>
      <c r="F217" s="3">
        <f>Source!T208</f>
        <v>0</v>
      </c>
      <c r="G217" s="3" t="s">
        <v>63</v>
      </c>
      <c r="H217" s="3" t="s">
        <v>64</v>
      </c>
      <c r="I217" s="3"/>
      <c r="J217" s="3"/>
      <c r="K217" s="3">
        <v>206</v>
      </c>
      <c r="L217" s="3">
        <v>8</v>
      </c>
      <c r="M217" s="3">
        <v>3</v>
      </c>
      <c r="N217" s="3" t="s">
        <v>3</v>
      </c>
    </row>
    <row r="218" spans="1:14" ht="12.75">
      <c r="A218" s="3">
        <v>50</v>
      </c>
      <c r="B218" s="3">
        <v>0</v>
      </c>
      <c r="C218" s="3">
        <v>0</v>
      </c>
      <c r="D218" s="3">
        <v>1</v>
      </c>
      <c r="E218" s="3">
        <v>207</v>
      </c>
      <c r="F218" s="3">
        <f>Source!U208</f>
        <v>309.56</v>
      </c>
      <c r="G218" s="3" t="s">
        <v>65</v>
      </c>
      <c r="H218" s="3" t="s">
        <v>66</v>
      </c>
      <c r="I218" s="3"/>
      <c r="J218" s="3"/>
      <c r="K218" s="3">
        <v>207</v>
      </c>
      <c r="L218" s="3">
        <v>9</v>
      </c>
      <c r="M218" s="3">
        <v>3</v>
      </c>
      <c r="N218" s="3" t="s">
        <v>3</v>
      </c>
    </row>
    <row r="219" spans="1:14" ht="12.75">
      <c r="A219" s="3">
        <v>50</v>
      </c>
      <c r="B219" s="3">
        <v>0</v>
      </c>
      <c r="C219" s="3">
        <v>0</v>
      </c>
      <c r="D219" s="3">
        <v>1</v>
      </c>
      <c r="E219" s="3">
        <v>208</v>
      </c>
      <c r="F219" s="3">
        <f>Source!V208</f>
        <v>65.88</v>
      </c>
      <c r="G219" s="3" t="s">
        <v>67</v>
      </c>
      <c r="H219" s="3" t="s">
        <v>68</v>
      </c>
      <c r="I219" s="3"/>
      <c r="J219" s="3"/>
      <c r="K219" s="3">
        <v>208</v>
      </c>
      <c r="L219" s="3">
        <v>10</v>
      </c>
      <c r="M219" s="3">
        <v>3</v>
      </c>
      <c r="N219" s="3" t="s">
        <v>3</v>
      </c>
    </row>
    <row r="220" spans="1:14" ht="12.75">
      <c r="A220" s="3">
        <v>50</v>
      </c>
      <c r="B220" s="3">
        <v>0</v>
      </c>
      <c r="C220" s="3">
        <v>0</v>
      </c>
      <c r="D220" s="3">
        <v>1</v>
      </c>
      <c r="E220" s="3">
        <v>209</v>
      </c>
      <c r="F220" s="3">
        <f>Source!W208</f>
        <v>0</v>
      </c>
      <c r="G220" s="3" t="s">
        <v>69</v>
      </c>
      <c r="H220" s="3" t="s">
        <v>70</v>
      </c>
      <c r="I220" s="3"/>
      <c r="J220" s="3"/>
      <c r="K220" s="3">
        <v>209</v>
      </c>
      <c r="L220" s="3">
        <v>11</v>
      </c>
      <c r="M220" s="3">
        <v>3</v>
      </c>
      <c r="N220" s="3" t="s">
        <v>3</v>
      </c>
    </row>
    <row r="221" spans="1:14" ht="12.75">
      <c r="A221" s="3">
        <v>50</v>
      </c>
      <c r="B221" s="3">
        <v>0</v>
      </c>
      <c r="C221" s="3">
        <v>0</v>
      </c>
      <c r="D221" s="3">
        <v>1</v>
      </c>
      <c r="E221" s="3">
        <v>210</v>
      </c>
      <c r="F221" s="3">
        <f>Source!X208</f>
        <v>74485.67</v>
      </c>
      <c r="G221" s="3" t="s">
        <v>71</v>
      </c>
      <c r="H221" s="3" t="s">
        <v>72</v>
      </c>
      <c r="I221" s="3"/>
      <c r="J221" s="3"/>
      <c r="K221" s="3">
        <v>210</v>
      </c>
      <c r="L221" s="3">
        <v>12</v>
      </c>
      <c r="M221" s="3">
        <v>3</v>
      </c>
      <c r="N221" s="3" t="s">
        <v>3</v>
      </c>
    </row>
    <row r="222" spans="1:14" ht="12.75">
      <c r="A222" s="3">
        <v>50</v>
      </c>
      <c r="B222" s="3">
        <v>0</v>
      </c>
      <c r="C222" s="3">
        <v>0</v>
      </c>
      <c r="D222" s="3">
        <v>1</v>
      </c>
      <c r="E222" s="3">
        <v>211</v>
      </c>
      <c r="F222" s="3">
        <f>Source!Y208</f>
        <v>39990.08</v>
      </c>
      <c r="G222" s="3" t="s">
        <v>73</v>
      </c>
      <c r="H222" s="3" t="s">
        <v>74</v>
      </c>
      <c r="I222" s="3"/>
      <c r="J222" s="3"/>
      <c r="K222" s="3">
        <v>211</v>
      </c>
      <c r="L222" s="3">
        <v>13</v>
      </c>
      <c r="M222" s="3">
        <v>3</v>
      </c>
      <c r="N222" s="3" t="s">
        <v>3</v>
      </c>
    </row>
    <row r="224" spans="1:43" ht="12.75">
      <c r="A224" s="2">
        <v>51</v>
      </c>
      <c r="B224" s="2">
        <f>B12</f>
        <v>1</v>
      </c>
      <c r="C224" s="2">
        <f>A12</f>
        <v>1</v>
      </c>
      <c r="D224" s="2">
        <f>ROW(A12)</f>
        <v>12</v>
      </c>
      <c r="E224" s="2"/>
      <c r="F224" s="2" t="str">
        <f>IF(F12&lt;&gt;"",F12,"")</f>
        <v>Новый объект</v>
      </c>
      <c r="G224" s="2" t="str">
        <f>IF(G12&lt;&gt;"",G12,"")</f>
        <v>Расширение и ремонт внутриквартальной дороги, ремонт парковочного кармана из асфальтобетонного покрытия, устройство тротуара и стоянки из асфальтобетона по адресу: ул. Строителей 2а</v>
      </c>
      <c r="H224" s="2"/>
      <c r="I224" s="2"/>
      <c r="J224" s="2"/>
      <c r="K224" s="2"/>
      <c r="L224" s="2"/>
      <c r="M224" s="2"/>
      <c r="N224" s="2"/>
      <c r="O224" s="2">
        <f aca="true" t="shared" si="102" ref="O224:Y224">ROUND(O208,2)</f>
        <v>752421.97</v>
      </c>
      <c r="P224" s="2">
        <f t="shared" si="102"/>
        <v>640677.32</v>
      </c>
      <c r="Q224" s="2">
        <f t="shared" si="102"/>
        <v>65324.28</v>
      </c>
      <c r="R224" s="2">
        <f t="shared" si="102"/>
        <v>15974.95</v>
      </c>
      <c r="S224" s="2">
        <f t="shared" si="102"/>
        <v>46420.37</v>
      </c>
      <c r="T224" s="2">
        <f t="shared" si="102"/>
        <v>0</v>
      </c>
      <c r="U224" s="2">
        <f t="shared" si="102"/>
        <v>309.56</v>
      </c>
      <c r="V224" s="2">
        <f t="shared" si="102"/>
        <v>65.88</v>
      </c>
      <c r="W224" s="2">
        <f t="shared" si="102"/>
        <v>0</v>
      </c>
      <c r="X224" s="2">
        <f t="shared" si="102"/>
        <v>74485.67</v>
      </c>
      <c r="Y224" s="2">
        <f t="shared" si="102"/>
        <v>39990.08</v>
      </c>
      <c r="Z224" s="2"/>
      <c r="AA224" s="2"/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/>
      <c r="AN224" s="2">
        <f>ROUND(AN208,2)</f>
        <v>0</v>
      </c>
      <c r="AO224" s="2">
        <v>0</v>
      </c>
      <c r="AP224" s="2">
        <f>ROUND(AP208,2)</f>
        <v>0</v>
      </c>
      <c r="AQ224" s="2">
        <v>0</v>
      </c>
    </row>
    <row r="226" spans="1:14" ht="12.75">
      <c r="A226" s="3">
        <v>50</v>
      </c>
      <c r="B226" s="3">
        <v>0</v>
      </c>
      <c r="C226" s="3">
        <v>0</v>
      </c>
      <c r="D226" s="3">
        <v>1</v>
      </c>
      <c r="E226" s="3">
        <v>201</v>
      </c>
      <c r="F226" s="3">
        <f>Source!O224</f>
        <v>752421.97</v>
      </c>
      <c r="G226" s="3" t="s">
        <v>49</v>
      </c>
      <c r="H226" s="3" t="s">
        <v>50</v>
      </c>
      <c r="I226" s="3"/>
      <c r="J226" s="3"/>
      <c r="K226" s="3">
        <v>201</v>
      </c>
      <c r="L226" s="3">
        <v>1</v>
      </c>
      <c r="M226" s="3">
        <v>3</v>
      </c>
      <c r="N226" s="3" t="s">
        <v>3</v>
      </c>
    </row>
    <row r="227" spans="1:14" ht="12.75">
      <c r="A227" s="3">
        <v>50</v>
      </c>
      <c r="B227" s="3">
        <v>0</v>
      </c>
      <c r="C227" s="3">
        <v>0</v>
      </c>
      <c r="D227" s="3">
        <v>1</v>
      </c>
      <c r="E227" s="3">
        <v>202</v>
      </c>
      <c r="F227" s="3">
        <f>Source!P224</f>
        <v>640677.32</v>
      </c>
      <c r="G227" s="3" t="s">
        <v>51</v>
      </c>
      <c r="H227" s="3" t="s">
        <v>52</v>
      </c>
      <c r="I227" s="3"/>
      <c r="J227" s="3"/>
      <c r="K227" s="3">
        <v>202</v>
      </c>
      <c r="L227" s="3">
        <v>2</v>
      </c>
      <c r="M227" s="3">
        <v>3</v>
      </c>
      <c r="N227" s="3" t="s">
        <v>3</v>
      </c>
    </row>
    <row r="228" spans="1:14" ht="12.75">
      <c r="A228" s="3">
        <v>50</v>
      </c>
      <c r="B228" s="3">
        <v>0</v>
      </c>
      <c r="C228" s="3">
        <v>0</v>
      </c>
      <c r="D228" s="3">
        <v>1</v>
      </c>
      <c r="E228" s="3">
        <v>222</v>
      </c>
      <c r="F228" s="3">
        <f>Source!AN224</f>
        <v>0</v>
      </c>
      <c r="G228" s="3" t="s">
        <v>53</v>
      </c>
      <c r="H228" s="3" t="s">
        <v>54</v>
      </c>
      <c r="I228" s="3"/>
      <c r="J228" s="3"/>
      <c r="K228" s="3">
        <v>222</v>
      </c>
      <c r="L228" s="3">
        <v>3</v>
      </c>
      <c r="M228" s="3">
        <v>3</v>
      </c>
      <c r="N228" s="3" t="s">
        <v>3</v>
      </c>
    </row>
    <row r="229" spans="1:14" ht="12.75">
      <c r="A229" s="3">
        <v>50</v>
      </c>
      <c r="B229" s="3">
        <v>0</v>
      </c>
      <c r="C229" s="3">
        <v>0</v>
      </c>
      <c r="D229" s="3">
        <v>1</v>
      </c>
      <c r="E229" s="3">
        <v>216</v>
      </c>
      <c r="F229" s="3">
        <f>Source!AP224</f>
        <v>0</v>
      </c>
      <c r="G229" s="3" t="s">
        <v>55</v>
      </c>
      <c r="H229" s="3" t="s">
        <v>56</v>
      </c>
      <c r="I229" s="3"/>
      <c r="J229" s="3"/>
      <c r="K229" s="3">
        <v>216</v>
      </c>
      <c r="L229" s="3">
        <v>4</v>
      </c>
      <c r="M229" s="3">
        <v>3</v>
      </c>
      <c r="N229" s="3" t="s">
        <v>3</v>
      </c>
    </row>
    <row r="230" spans="1:14" ht="12.75">
      <c r="A230" s="3">
        <v>50</v>
      </c>
      <c r="B230" s="3">
        <v>0</v>
      </c>
      <c r="C230" s="3">
        <v>0</v>
      </c>
      <c r="D230" s="3">
        <v>1</v>
      </c>
      <c r="E230" s="3">
        <v>203</v>
      </c>
      <c r="F230" s="3">
        <f>Source!Q224</f>
        <v>65324.28</v>
      </c>
      <c r="G230" s="3" t="s">
        <v>57</v>
      </c>
      <c r="H230" s="3" t="s">
        <v>58</v>
      </c>
      <c r="I230" s="3"/>
      <c r="J230" s="3"/>
      <c r="K230" s="3">
        <v>203</v>
      </c>
      <c r="L230" s="3">
        <v>5</v>
      </c>
      <c r="M230" s="3">
        <v>3</v>
      </c>
      <c r="N230" s="3" t="s">
        <v>3</v>
      </c>
    </row>
    <row r="231" spans="1:14" ht="12.75">
      <c r="A231" s="3">
        <v>50</v>
      </c>
      <c r="B231" s="3">
        <v>0</v>
      </c>
      <c r="C231" s="3">
        <v>0</v>
      </c>
      <c r="D231" s="3">
        <v>1</v>
      </c>
      <c r="E231" s="3">
        <v>204</v>
      </c>
      <c r="F231" s="3">
        <f>Source!R224</f>
        <v>15974.95</v>
      </c>
      <c r="G231" s="3" t="s">
        <v>59</v>
      </c>
      <c r="H231" s="3" t="s">
        <v>60</v>
      </c>
      <c r="I231" s="3"/>
      <c r="J231" s="3"/>
      <c r="K231" s="3">
        <v>204</v>
      </c>
      <c r="L231" s="3">
        <v>6</v>
      </c>
      <c r="M231" s="3">
        <v>3</v>
      </c>
      <c r="N231" s="3" t="s">
        <v>3</v>
      </c>
    </row>
    <row r="232" spans="1:14" ht="12.75">
      <c r="A232" s="3">
        <v>50</v>
      </c>
      <c r="B232" s="3">
        <v>0</v>
      </c>
      <c r="C232" s="3">
        <v>0</v>
      </c>
      <c r="D232" s="3">
        <v>1</v>
      </c>
      <c r="E232" s="3">
        <v>205</v>
      </c>
      <c r="F232" s="3">
        <f>Source!S224</f>
        <v>46420.37</v>
      </c>
      <c r="G232" s="3" t="s">
        <v>61</v>
      </c>
      <c r="H232" s="3" t="s">
        <v>62</v>
      </c>
      <c r="I232" s="3"/>
      <c r="J232" s="3"/>
      <c r="K232" s="3">
        <v>205</v>
      </c>
      <c r="L232" s="3">
        <v>7</v>
      </c>
      <c r="M232" s="3">
        <v>3</v>
      </c>
      <c r="N232" s="3" t="s">
        <v>3</v>
      </c>
    </row>
    <row r="233" spans="1:14" ht="12.75">
      <c r="A233" s="3">
        <v>50</v>
      </c>
      <c r="B233" s="3">
        <v>0</v>
      </c>
      <c r="C233" s="3">
        <v>0</v>
      </c>
      <c r="D233" s="3">
        <v>1</v>
      </c>
      <c r="E233" s="3">
        <v>206</v>
      </c>
      <c r="F233" s="3">
        <f>Source!T224</f>
        <v>0</v>
      </c>
      <c r="G233" s="3" t="s">
        <v>63</v>
      </c>
      <c r="H233" s="3" t="s">
        <v>64</v>
      </c>
      <c r="I233" s="3"/>
      <c r="J233" s="3"/>
      <c r="K233" s="3">
        <v>206</v>
      </c>
      <c r="L233" s="3">
        <v>8</v>
      </c>
      <c r="M233" s="3">
        <v>3</v>
      </c>
      <c r="N233" s="3" t="s">
        <v>3</v>
      </c>
    </row>
    <row r="234" spans="1:14" ht="12.75">
      <c r="A234" s="3">
        <v>50</v>
      </c>
      <c r="B234" s="3">
        <v>0</v>
      </c>
      <c r="C234" s="3">
        <v>0</v>
      </c>
      <c r="D234" s="3">
        <v>1</v>
      </c>
      <c r="E234" s="3">
        <v>207</v>
      </c>
      <c r="F234" s="3">
        <f>Source!U224</f>
        <v>309.56</v>
      </c>
      <c r="G234" s="3" t="s">
        <v>65</v>
      </c>
      <c r="H234" s="3" t="s">
        <v>66</v>
      </c>
      <c r="I234" s="3"/>
      <c r="J234" s="3"/>
      <c r="K234" s="3">
        <v>207</v>
      </c>
      <c r="L234" s="3">
        <v>9</v>
      </c>
      <c r="M234" s="3">
        <v>3</v>
      </c>
      <c r="N234" s="3" t="s">
        <v>3</v>
      </c>
    </row>
    <row r="235" spans="1:14" ht="12.75">
      <c r="A235" s="3">
        <v>50</v>
      </c>
      <c r="B235" s="3">
        <v>0</v>
      </c>
      <c r="C235" s="3">
        <v>0</v>
      </c>
      <c r="D235" s="3">
        <v>1</v>
      </c>
      <c r="E235" s="3">
        <v>208</v>
      </c>
      <c r="F235" s="3">
        <f>Source!V224</f>
        <v>65.88</v>
      </c>
      <c r="G235" s="3" t="s">
        <v>67</v>
      </c>
      <c r="H235" s="3" t="s">
        <v>68</v>
      </c>
      <c r="I235" s="3"/>
      <c r="J235" s="3"/>
      <c r="K235" s="3">
        <v>208</v>
      </c>
      <c r="L235" s="3">
        <v>10</v>
      </c>
      <c r="M235" s="3">
        <v>3</v>
      </c>
      <c r="N235" s="3" t="s">
        <v>3</v>
      </c>
    </row>
    <row r="236" spans="1:14" ht="12.75">
      <c r="A236" s="3">
        <v>50</v>
      </c>
      <c r="B236" s="3">
        <v>0</v>
      </c>
      <c r="C236" s="3">
        <v>0</v>
      </c>
      <c r="D236" s="3">
        <v>1</v>
      </c>
      <c r="E236" s="3">
        <v>209</v>
      </c>
      <c r="F236" s="3">
        <f>Source!W224</f>
        <v>0</v>
      </c>
      <c r="G236" s="3" t="s">
        <v>69</v>
      </c>
      <c r="H236" s="3" t="s">
        <v>70</v>
      </c>
      <c r="I236" s="3"/>
      <c r="J236" s="3"/>
      <c r="K236" s="3">
        <v>209</v>
      </c>
      <c r="L236" s="3">
        <v>11</v>
      </c>
      <c r="M236" s="3">
        <v>3</v>
      </c>
      <c r="N236" s="3" t="s">
        <v>3</v>
      </c>
    </row>
    <row r="237" spans="1:14" ht="12.75">
      <c r="A237" s="3">
        <v>50</v>
      </c>
      <c r="B237" s="3">
        <v>0</v>
      </c>
      <c r="C237" s="3">
        <v>0</v>
      </c>
      <c r="D237" s="3">
        <v>1</v>
      </c>
      <c r="E237" s="3">
        <v>210</v>
      </c>
      <c r="F237" s="3">
        <f>Source!X224</f>
        <v>74485.67</v>
      </c>
      <c r="G237" s="3" t="s">
        <v>71</v>
      </c>
      <c r="H237" s="3" t="s">
        <v>72</v>
      </c>
      <c r="I237" s="3"/>
      <c r="J237" s="3"/>
      <c r="K237" s="3">
        <v>210</v>
      </c>
      <c r="L237" s="3">
        <v>12</v>
      </c>
      <c r="M237" s="3">
        <v>3</v>
      </c>
      <c r="N237" s="3" t="s">
        <v>3</v>
      </c>
    </row>
    <row r="238" spans="1:14" ht="12.75">
      <c r="A238" s="3">
        <v>50</v>
      </c>
      <c r="B238" s="3">
        <v>0</v>
      </c>
      <c r="C238" s="3">
        <v>0</v>
      </c>
      <c r="D238" s="3">
        <v>1</v>
      </c>
      <c r="E238" s="3">
        <v>211</v>
      </c>
      <c r="F238" s="3">
        <f>Source!Y224</f>
        <v>39990.08</v>
      </c>
      <c r="G238" s="3" t="s">
        <v>73</v>
      </c>
      <c r="H238" s="3" t="s">
        <v>74</v>
      </c>
      <c r="I238" s="3"/>
      <c r="J238" s="3"/>
      <c r="K238" s="3">
        <v>211</v>
      </c>
      <c r="L238" s="3">
        <v>13</v>
      </c>
      <c r="M238" s="3">
        <v>3</v>
      </c>
      <c r="N238" s="3" t="s">
        <v>3</v>
      </c>
    </row>
    <row r="239" spans="1:14" ht="12.75">
      <c r="A239" s="3">
        <v>50</v>
      </c>
      <c r="B239" s="3">
        <v>1</v>
      </c>
      <c r="C239" s="3">
        <v>0</v>
      </c>
      <c r="D239" s="3">
        <v>2</v>
      </c>
      <c r="E239" s="3">
        <v>0</v>
      </c>
      <c r="F239" s="3">
        <f>ROUND(Source!F238+Source!F237+Source!F226,2)</f>
        <v>866897.72</v>
      </c>
      <c r="G239" s="3" t="s">
        <v>175</v>
      </c>
      <c r="H239" s="3" t="s">
        <v>176</v>
      </c>
      <c r="I239" s="3"/>
      <c r="J239" s="3"/>
      <c r="K239" s="3">
        <v>212</v>
      </c>
      <c r="L239" s="3">
        <v>14</v>
      </c>
      <c r="M239" s="3">
        <v>0</v>
      </c>
      <c r="N239" s="3" t="s">
        <v>3</v>
      </c>
    </row>
    <row r="240" spans="1:14" ht="12.75">
      <c r="A240" s="3">
        <v>50</v>
      </c>
      <c r="B240" s="3">
        <v>1</v>
      </c>
      <c r="C240" s="3">
        <v>0</v>
      </c>
      <c r="D240" s="3">
        <v>2</v>
      </c>
      <c r="E240" s="3">
        <v>0</v>
      </c>
      <c r="F240" s="3">
        <f>ROUND(Source!F239*0.18,2)</f>
        <v>156041.59</v>
      </c>
      <c r="G240" s="3" t="s">
        <v>177</v>
      </c>
      <c r="H240" s="3" t="s">
        <v>178</v>
      </c>
      <c r="I240" s="3"/>
      <c r="J240" s="3"/>
      <c r="K240" s="3">
        <v>212</v>
      </c>
      <c r="L240" s="3">
        <v>15</v>
      </c>
      <c r="M240" s="3">
        <v>0</v>
      </c>
      <c r="N240" s="3" t="s">
        <v>3</v>
      </c>
    </row>
    <row r="241" spans="1:14" ht="12.75">
      <c r="A241" s="3">
        <v>50</v>
      </c>
      <c r="B241" s="3">
        <v>1</v>
      </c>
      <c r="C241" s="3">
        <v>0</v>
      </c>
      <c r="D241" s="3">
        <v>2</v>
      </c>
      <c r="E241" s="3">
        <v>213</v>
      </c>
      <c r="F241" s="3">
        <f>ROUND(Source!F240+Source!F239,2)</f>
        <v>1022939.31</v>
      </c>
      <c r="G241" s="3" t="s">
        <v>179</v>
      </c>
      <c r="H241" s="3" t="s">
        <v>180</v>
      </c>
      <c r="I241" s="3"/>
      <c r="J241" s="3"/>
      <c r="K241" s="3">
        <v>212</v>
      </c>
      <c r="L241" s="3">
        <v>16</v>
      </c>
      <c r="M241" s="3">
        <v>0</v>
      </c>
      <c r="N241" s="3" t="s">
        <v>3</v>
      </c>
    </row>
    <row r="244" spans="1:14" ht="12.75">
      <c r="A244">
        <v>70</v>
      </c>
      <c r="B244">
        <v>1</v>
      </c>
      <c r="D244">
        <v>0</v>
      </c>
      <c r="E244" t="s">
        <v>181</v>
      </c>
      <c r="F244" t="s">
        <v>182</v>
      </c>
      <c r="G244">
        <v>1</v>
      </c>
      <c r="H244">
        <v>1</v>
      </c>
      <c r="I244" t="s">
        <v>183</v>
      </c>
      <c r="J244">
        <v>0</v>
      </c>
      <c r="K244">
        <v>0</v>
      </c>
      <c r="N244">
        <v>0</v>
      </c>
    </row>
    <row r="245" spans="1:14" ht="12.75">
      <c r="A245">
        <v>70</v>
      </c>
      <c r="B245">
        <v>1</v>
      </c>
      <c r="D245">
        <v>0</v>
      </c>
      <c r="E245" t="s">
        <v>184</v>
      </c>
      <c r="F245" t="s">
        <v>185</v>
      </c>
      <c r="G245">
        <v>0.85</v>
      </c>
      <c r="H245">
        <v>0.85</v>
      </c>
      <c r="I245" t="s">
        <v>186</v>
      </c>
      <c r="J245">
        <v>0</v>
      </c>
      <c r="K245">
        <v>0</v>
      </c>
      <c r="N245">
        <v>0</v>
      </c>
    </row>
    <row r="246" spans="1:14" ht="12.75">
      <c r="A246">
        <v>70</v>
      </c>
      <c r="B246">
        <v>1</v>
      </c>
      <c r="D246">
        <v>0</v>
      </c>
      <c r="E246" t="s">
        <v>187</v>
      </c>
      <c r="F246" t="s">
        <v>188</v>
      </c>
      <c r="G246">
        <v>1</v>
      </c>
      <c r="H246">
        <v>0</v>
      </c>
      <c r="I246" t="s">
        <v>189</v>
      </c>
      <c r="J246">
        <v>0</v>
      </c>
      <c r="K246">
        <v>0</v>
      </c>
      <c r="N246">
        <v>0</v>
      </c>
    </row>
    <row r="247" spans="1:14" ht="12.75">
      <c r="A247">
        <v>70</v>
      </c>
      <c r="B247">
        <v>1</v>
      </c>
      <c r="D247">
        <v>0</v>
      </c>
      <c r="E247" t="s">
        <v>190</v>
      </c>
      <c r="F247" t="s">
        <v>191</v>
      </c>
      <c r="G247">
        <v>0.85</v>
      </c>
      <c r="H247">
        <v>0.85</v>
      </c>
      <c r="I247" t="s">
        <v>192</v>
      </c>
      <c r="J247">
        <v>0</v>
      </c>
      <c r="K247">
        <v>0</v>
      </c>
      <c r="N247">
        <v>0</v>
      </c>
    </row>
    <row r="248" spans="1:14" ht="12.75">
      <c r="A248">
        <v>70</v>
      </c>
      <c r="B248">
        <v>1</v>
      </c>
      <c r="D248">
        <v>0</v>
      </c>
      <c r="E248" t="s">
        <v>193</v>
      </c>
      <c r="F248" t="s">
        <v>194</v>
      </c>
      <c r="G248">
        <v>0.8</v>
      </c>
      <c r="H248">
        <v>0.8</v>
      </c>
      <c r="I248" t="s">
        <v>195</v>
      </c>
      <c r="J248">
        <v>0</v>
      </c>
      <c r="K248">
        <v>0</v>
      </c>
      <c r="N248">
        <v>0</v>
      </c>
    </row>
    <row r="249" spans="1:14" ht="12.75">
      <c r="A249">
        <v>70</v>
      </c>
      <c r="B249">
        <v>1</v>
      </c>
      <c r="D249">
        <v>0</v>
      </c>
      <c r="E249" t="s">
        <v>196</v>
      </c>
      <c r="F249" t="s">
        <v>197</v>
      </c>
      <c r="G249">
        <v>0</v>
      </c>
      <c r="H249">
        <v>0</v>
      </c>
      <c r="I249" t="s">
        <v>198</v>
      </c>
      <c r="J249">
        <v>0</v>
      </c>
      <c r="K249">
        <v>0</v>
      </c>
      <c r="N249">
        <v>0</v>
      </c>
    </row>
    <row r="250" spans="1:14" ht="12.75">
      <c r="A250">
        <v>70</v>
      </c>
      <c r="B250">
        <v>1</v>
      </c>
      <c r="D250">
        <v>0</v>
      </c>
      <c r="E250" t="s">
        <v>199</v>
      </c>
      <c r="F250" t="s">
        <v>200</v>
      </c>
      <c r="G250">
        <v>0</v>
      </c>
      <c r="H250">
        <v>0</v>
      </c>
      <c r="I250" t="s">
        <v>201</v>
      </c>
      <c r="J250">
        <v>0</v>
      </c>
      <c r="K250">
        <v>0</v>
      </c>
      <c r="N250">
        <v>0</v>
      </c>
    </row>
    <row r="251" spans="1:14" ht="12.75">
      <c r="A251">
        <v>70</v>
      </c>
      <c r="B251">
        <v>1</v>
      </c>
      <c r="D251">
        <v>0</v>
      </c>
      <c r="E251" t="s">
        <v>202</v>
      </c>
      <c r="F251" t="s">
        <v>203</v>
      </c>
      <c r="G251">
        <v>0</v>
      </c>
      <c r="H251">
        <v>0</v>
      </c>
      <c r="I251" t="s">
        <v>204</v>
      </c>
      <c r="J251">
        <v>0</v>
      </c>
      <c r="K251">
        <v>0</v>
      </c>
      <c r="N251">
        <v>0</v>
      </c>
    </row>
    <row r="252" spans="1:14" ht="12.75">
      <c r="A252">
        <v>70</v>
      </c>
      <c r="B252">
        <v>1</v>
      </c>
      <c r="D252">
        <v>0</v>
      </c>
      <c r="E252" t="s">
        <v>205</v>
      </c>
      <c r="F252" t="s">
        <v>206</v>
      </c>
      <c r="G252">
        <v>1</v>
      </c>
      <c r="H252">
        <v>1</v>
      </c>
      <c r="I252" t="s">
        <v>207</v>
      </c>
      <c r="J252">
        <v>0</v>
      </c>
      <c r="K252">
        <v>0</v>
      </c>
      <c r="N252">
        <v>0</v>
      </c>
    </row>
    <row r="253" spans="1:14" ht="12.75">
      <c r="A253">
        <v>70</v>
      </c>
      <c r="B253">
        <v>1</v>
      </c>
      <c r="D253">
        <v>0</v>
      </c>
      <c r="E253" t="s">
        <v>208</v>
      </c>
      <c r="F253" t="s">
        <v>209</v>
      </c>
      <c r="G253">
        <v>0</v>
      </c>
      <c r="H253">
        <v>0</v>
      </c>
      <c r="I253" t="s">
        <v>210</v>
      </c>
      <c r="J253">
        <v>0</v>
      </c>
      <c r="K253">
        <v>0</v>
      </c>
      <c r="N253">
        <v>0</v>
      </c>
    </row>
    <row r="254" spans="1:14" ht="12.75">
      <c r="A254">
        <v>70</v>
      </c>
      <c r="B254">
        <v>1</v>
      </c>
      <c r="D254">
        <v>0</v>
      </c>
      <c r="E254" t="s">
        <v>211</v>
      </c>
      <c r="F254" t="s">
        <v>212</v>
      </c>
      <c r="G254">
        <v>0</v>
      </c>
      <c r="H254">
        <v>0</v>
      </c>
      <c r="I254" t="s">
        <v>213</v>
      </c>
      <c r="J254">
        <v>0</v>
      </c>
      <c r="K254">
        <v>0</v>
      </c>
      <c r="N254">
        <v>0</v>
      </c>
    </row>
    <row r="255" spans="1:14" ht="12.75">
      <c r="A255">
        <v>70</v>
      </c>
      <c r="B255">
        <v>1</v>
      </c>
      <c r="D255">
        <v>0</v>
      </c>
      <c r="E255" t="s">
        <v>214</v>
      </c>
      <c r="F255" t="s">
        <v>215</v>
      </c>
      <c r="G255">
        <v>0.94</v>
      </c>
      <c r="H255">
        <v>0.94</v>
      </c>
      <c r="I255" t="s">
        <v>216</v>
      </c>
      <c r="J255">
        <v>0</v>
      </c>
      <c r="K255">
        <v>0</v>
      </c>
      <c r="N255">
        <v>0</v>
      </c>
    </row>
    <row r="256" spans="1:14" ht="12.75">
      <c r="A256">
        <v>70</v>
      </c>
      <c r="B256">
        <v>1</v>
      </c>
      <c r="D256">
        <v>0</v>
      </c>
      <c r="E256" t="s">
        <v>217</v>
      </c>
      <c r="F256" t="s">
        <v>218</v>
      </c>
      <c r="G256">
        <v>0</v>
      </c>
      <c r="H256">
        <v>0</v>
      </c>
      <c r="I256" t="s">
        <v>219</v>
      </c>
      <c r="J256">
        <v>0</v>
      </c>
      <c r="K256">
        <v>0</v>
      </c>
      <c r="N256">
        <v>0</v>
      </c>
    </row>
    <row r="257" spans="1:14" ht="12.75">
      <c r="A257">
        <v>70</v>
      </c>
      <c r="B257">
        <v>1</v>
      </c>
      <c r="D257">
        <v>0</v>
      </c>
      <c r="E257" t="s">
        <v>220</v>
      </c>
      <c r="F257" t="s">
        <v>221</v>
      </c>
      <c r="G257">
        <v>0</v>
      </c>
      <c r="H257">
        <v>0</v>
      </c>
      <c r="I257" t="s">
        <v>222</v>
      </c>
      <c r="J257">
        <v>0</v>
      </c>
      <c r="K257">
        <v>0</v>
      </c>
      <c r="N257">
        <v>0</v>
      </c>
    </row>
    <row r="258" spans="1:14" ht="12.75">
      <c r="A258">
        <v>70</v>
      </c>
      <c r="B258">
        <v>1</v>
      </c>
      <c r="D258">
        <v>0</v>
      </c>
      <c r="E258" t="s">
        <v>223</v>
      </c>
      <c r="F258" t="s">
        <v>224</v>
      </c>
      <c r="G258">
        <v>0</v>
      </c>
      <c r="H258">
        <v>0</v>
      </c>
      <c r="I258" t="s">
        <v>225</v>
      </c>
      <c r="J258">
        <v>0</v>
      </c>
      <c r="K258">
        <v>0</v>
      </c>
      <c r="N258">
        <v>0</v>
      </c>
    </row>
    <row r="261" spans="1:5" ht="12.75">
      <c r="A261">
        <v>65</v>
      </c>
      <c r="C261">
        <v>1</v>
      </c>
      <c r="D261">
        <v>0</v>
      </c>
      <c r="E26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1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27551233</v>
      </c>
      <c r="C1">
        <v>27551232</v>
      </c>
      <c r="D1">
        <v>24503104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1369</v>
      </c>
      <c r="N1">
        <v>1013</v>
      </c>
      <c r="O1" t="s">
        <v>228</v>
      </c>
      <c r="P1" t="s">
        <v>228</v>
      </c>
      <c r="Q1">
        <v>1</v>
      </c>
      <c r="Y1">
        <v>76.7</v>
      </c>
      <c r="AA1">
        <v>0</v>
      </c>
      <c r="AB1">
        <v>0</v>
      </c>
      <c r="AC1">
        <v>0</v>
      </c>
      <c r="AD1">
        <v>8.02</v>
      </c>
      <c r="AN1">
        <v>0</v>
      </c>
      <c r="AO1">
        <v>1</v>
      </c>
      <c r="AP1">
        <v>0</v>
      </c>
      <c r="AQ1">
        <v>0</v>
      </c>
      <c r="AR1">
        <v>0</v>
      </c>
      <c r="AT1">
        <v>76.7</v>
      </c>
      <c r="AV1">
        <v>1</v>
      </c>
      <c r="AW1">
        <v>2</v>
      </c>
      <c r="AX1">
        <v>27551235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27551234</v>
      </c>
      <c r="C2">
        <v>27551232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229</v>
      </c>
      <c r="L2">
        <v>608254</v>
      </c>
      <c r="N2">
        <v>1013</v>
      </c>
      <c r="O2" t="s">
        <v>230</v>
      </c>
      <c r="P2" t="s">
        <v>230</v>
      </c>
      <c r="Q2">
        <v>1</v>
      </c>
      <c r="Y2">
        <v>0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</v>
      </c>
      <c r="AV2">
        <v>2</v>
      </c>
      <c r="AW2">
        <v>2</v>
      </c>
      <c r="AX2">
        <v>27551236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ROW(Source!A29)</f>
        <v>29</v>
      </c>
      <c r="B3">
        <v>27551238</v>
      </c>
      <c r="C3">
        <v>27551237</v>
      </c>
      <c r="D3">
        <v>24505677</v>
      </c>
      <c r="E3">
        <v>1</v>
      </c>
      <c r="F3">
        <v>1</v>
      </c>
      <c r="G3">
        <v>1</v>
      </c>
      <c r="H3">
        <v>1</v>
      </c>
      <c r="I3" t="s">
        <v>231</v>
      </c>
      <c r="K3" t="s">
        <v>232</v>
      </c>
      <c r="L3">
        <v>1369</v>
      </c>
      <c r="N3">
        <v>1013</v>
      </c>
      <c r="O3" t="s">
        <v>228</v>
      </c>
      <c r="P3" t="s">
        <v>228</v>
      </c>
      <c r="Q3">
        <v>1</v>
      </c>
      <c r="Y3">
        <v>76.08</v>
      </c>
      <c r="AA3">
        <v>0</v>
      </c>
      <c r="AB3">
        <v>0</v>
      </c>
      <c r="AC3">
        <v>0</v>
      </c>
      <c r="AD3">
        <v>8.46</v>
      </c>
      <c r="AN3">
        <v>0</v>
      </c>
      <c r="AO3">
        <v>1</v>
      </c>
      <c r="AP3">
        <v>0</v>
      </c>
      <c r="AQ3">
        <v>0</v>
      </c>
      <c r="AR3">
        <v>0</v>
      </c>
      <c r="AT3">
        <v>76.08</v>
      </c>
      <c r="AV3">
        <v>1</v>
      </c>
      <c r="AW3">
        <v>2</v>
      </c>
      <c r="AX3">
        <v>27551246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27551239</v>
      </c>
      <c r="C4">
        <v>27551237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229</v>
      </c>
      <c r="L4">
        <v>608254</v>
      </c>
      <c r="N4">
        <v>1013</v>
      </c>
      <c r="O4" t="s">
        <v>230</v>
      </c>
      <c r="P4" t="s">
        <v>230</v>
      </c>
      <c r="Q4">
        <v>1</v>
      </c>
      <c r="Y4">
        <v>0.68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0.68</v>
      </c>
      <c r="AV4">
        <v>2</v>
      </c>
      <c r="AW4">
        <v>2</v>
      </c>
      <c r="AX4">
        <v>27551247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ROW(Source!A29)</f>
        <v>29</v>
      </c>
      <c r="B5">
        <v>27551240</v>
      </c>
      <c r="C5">
        <v>27551237</v>
      </c>
      <c r="D5">
        <v>24450839</v>
      </c>
      <c r="E5">
        <v>1</v>
      </c>
      <c r="F5">
        <v>1</v>
      </c>
      <c r="G5">
        <v>1</v>
      </c>
      <c r="H5">
        <v>2</v>
      </c>
      <c r="I5" t="s">
        <v>233</v>
      </c>
      <c r="J5" t="s">
        <v>234</v>
      </c>
      <c r="K5" t="s">
        <v>235</v>
      </c>
      <c r="L5">
        <v>1368</v>
      </c>
      <c r="N5">
        <v>1011</v>
      </c>
      <c r="O5" t="s">
        <v>236</v>
      </c>
      <c r="P5" t="s">
        <v>236</v>
      </c>
      <c r="Q5">
        <v>1</v>
      </c>
      <c r="Y5">
        <v>0.68</v>
      </c>
      <c r="AA5">
        <v>0</v>
      </c>
      <c r="AB5">
        <v>112</v>
      </c>
      <c r="AC5">
        <v>13.5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0.68</v>
      </c>
      <c r="AV5">
        <v>0</v>
      </c>
      <c r="AW5">
        <v>2</v>
      </c>
      <c r="AX5">
        <v>27551248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ROW(Source!A29)</f>
        <v>29</v>
      </c>
      <c r="B6">
        <v>27551241</v>
      </c>
      <c r="C6">
        <v>27551237</v>
      </c>
      <c r="D6">
        <v>24452575</v>
      </c>
      <c r="E6">
        <v>1</v>
      </c>
      <c r="F6">
        <v>1</v>
      </c>
      <c r="G6">
        <v>1</v>
      </c>
      <c r="H6">
        <v>2</v>
      </c>
      <c r="I6" t="s">
        <v>237</v>
      </c>
      <c r="J6" t="s">
        <v>238</v>
      </c>
      <c r="K6" t="s">
        <v>239</v>
      </c>
      <c r="L6">
        <v>1368</v>
      </c>
      <c r="N6">
        <v>1011</v>
      </c>
      <c r="O6" t="s">
        <v>236</v>
      </c>
      <c r="P6" t="s">
        <v>236</v>
      </c>
      <c r="Q6">
        <v>1</v>
      </c>
      <c r="Y6">
        <v>0.04</v>
      </c>
      <c r="AA6">
        <v>0</v>
      </c>
      <c r="AB6">
        <v>87.17</v>
      </c>
      <c r="AC6">
        <v>11.6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0.04</v>
      </c>
      <c r="AV6">
        <v>0</v>
      </c>
      <c r="AW6">
        <v>2</v>
      </c>
      <c r="AX6">
        <v>27551249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ROW(Source!A29)</f>
        <v>29</v>
      </c>
      <c r="B7">
        <v>27551242</v>
      </c>
      <c r="C7">
        <v>27551237</v>
      </c>
      <c r="D7">
        <v>24454508</v>
      </c>
      <c r="E7">
        <v>1</v>
      </c>
      <c r="F7">
        <v>1</v>
      </c>
      <c r="G7">
        <v>1</v>
      </c>
      <c r="H7">
        <v>3</v>
      </c>
      <c r="I7" t="s">
        <v>240</v>
      </c>
      <c r="J7" t="s">
        <v>241</v>
      </c>
      <c r="K7" t="s">
        <v>242</v>
      </c>
      <c r="L7">
        <v>1348</v>
      </c>
      <c r="N7">
        <v>1009</v>
      </c>
      <c r="O7" t="s">
        <v>87</v>
      </c>
      <c r="P7" t="s">
        <v>87</v>
      </c>
      <c r="Q7">
        <v>1000</v>
      </c>
      <c r="Y7">
        <v>0.001</v>
      </c>
      <c r="AA7">
        <v>11978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0.001</v>
      </c>
      <c r="AV7">
        <v>0</v>
      </c>
      <c r="AW7">
        <v>2</v>
      </c>
      <c r="AX7">
        <v>27551250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ROW(Source!A29)</f>
        <v>29</v>
      </c>
      <c r="B8">
        <v>27551243</v>
      </c>
      <c r="C8">
        <v>27551237</v>
      </c>
      <c r="D8">
        <v>24456413</v>
      </c>
      <c r="E8">
        <v>1</v>
      </c>
      <c r="F8">
        <v>1</v>
      </c>
      <c r="G8">
        <v>1</v>
      </c>
      <c r="H8">
        <v>3</v>
      </c>
      <c r="I8" t="s">
        <v>243</v>
      </c>
      <c r="J8" t="s">
        <v>244</v>
      </c>
      <c r="K8" t="s">
        <v>245</v>
      </c>
      <c r="L8">
        <v>1339</v>
      </c>
      <c r="N8">
        <v>1007</v>
      </c>
      <c r="O8" t="s">
        <v>99</v>
      </c>
      <c r="P8" t="s">
        <v>99</v>
      </c>
      <c r="Q8">
        <v>1</v>
      </c>
      <c r="Y8">
        <v>0.17</v>
      </c>
      <c r="AA8">
        <v>879.99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0.17</v>
      </c>
      <c r="AV8">
        <v>0</v>
      </c>
      <c r="AW8">
        <v>2</v>
      </c>
      <c r="AX8">
        <v>27551251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ROW(Source!A29)</f>
        <v>29</v>
      </c>
      <c r="B9">
        <v>27551244</v>
      </c>
      <c r="C9">
        <v>27551237</v>
      </c>
      <c r="D9">
        <v>24467774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1339</v>
      </c>
      <c r="N9">
        <v>1007</v>
      </c>
      <c r="O9" t="s">
        <v>99</v>
      </c>
      <c r="P9" t="s">
        <v>99</v>
      </c>
      <c r="Q9">
        <v>1</v>
      </c>
      <c r="Y9">
        <v>5.9</v>
      </c>
      <c r="AA9">
        <v>638.4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5.9</v>
      </c>
      <c r="AV9">
        <v>0</v>
      </c>
      <c r="AW9">
        <v>2</v>
      </c>
      <c r="AX9">
        <v>27551252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ROW(Source!A29)</f>
        <v>29</v>
      </c>
      <c r="B10">
        <v>27551245</v>
      </c>
      <c r="C10">
        <v>27551237</v>
      </c>
      <c r="D10">
        <v>24468225</v>
      </c>
      <c r="E10">
        <v>1</v>
      </c>
      <c r="F10">
        <v>1</v>
      </c>
      <c r="G10">
        <v>1</v>
      </c>
      <c r="H10">
        <v>3</v>
      </c>
      <c r="I10" t="s">
        <v>249</v>
      </c>
      <c r="J10" t="s">
        <v>250</v>
      </c>
      <c r="K10" t="s">
        <v>251</v>
      </c>
      <c r="L10">
        <v>1339</v>
      </c>
      <c r="N10">
        <v>1007</v>
      </c>
      <c r="O10" t="s">
        <v>99</v>
      </c>
      <c r="P10" t="s">
        <v>99</v>
      </c>
      <c r="Q10">
        <v>1</v>
      </c>
      <c r="Y10">
        <v>0.06</v>
      </c>
      <c r="AA10">
        <v>519.8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0.06</v>
      </c>
      <c r="AV10">
        <v>0</v>
      </c>
      <c r="AW10">
        <v>2</v>
      </c>
      <c r="AX10">
        <v>27551253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ROW(Source!A29)</f>
        <v>29</v>
      </c>
      <c r="B11">
        <v>27551256</v>
      </c>
      <c r="C11">
        <v>27551237</v>
      </c>
      <c r="D11">
        <v>24471173</v>
      </c>
      <c r="E11">
        <v>1</v>
      </c>
      <c r="F11">
        <v>1</v>
      </c>
      <c r="G11">
        <v>1</v>
      </c>
      <c r="H11">
        <v>3</v>
      </c>
      <c r="I11" t="s">
        <v>34</v>
      </c>
      <c r="J11" t="s">
        <v>37</v>
      </c>
      <c r="K11" t="s">
        <v>35</v>
      </c>
      <c r="L11">
        <v>1354</v>
      </c>
      <c r="N11">
        <v>1010</v>
      </c>
      <c r="O11" t="s">
        <v>36</v>
      </c>
      <c r="P11" t="s">
        <v>36</v>
      </c>
      <c r="Q11">
        <v>1</v>
      </c>
      <c r="Y11">
        <v>100</v>
      </c>
      <c r="AA11">
        <v>63.31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100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ROW(Source!A29)</f>
        <v>29</v>
      </c>
      <c r="B12">
        <v>27551258</v>
      </c>
      <c r="C12">
        <v>27551237</v>
      </c>
      <c r="D12">
        <v>24473036</v>
      </c>
      <c r="E12">
        <v>1</v>
      </c>
      <c r="F12">
        <v>1</v>
      </c>
      <c r="G12">
        <v>1</v>
      </c>
      <c r="H12">
        <v>3</v>
      </c>
      <c r="I12" t="s">
        <v>39</v>
      </c>
      <c r="J12" t="s">
        <v>42</v>
      </c>
      <c r="K12" t="s">
        <v>40</v>
      </c>
      <c r="L12">
        <v>1301</v>
      </c>
      <c r="N12">
        <v>1003</v>
      </c>
      <c r="O12" t="s">
        <v>41</v>
      </c>
      <c r="P12" t="s">
        <v>41</v>
      </c>
      <c r="Q12">
        <v>1</v>
      </c>
      <c r="Y12">
        <v>100</v>
      </c>
      <c r="AA12">
        <v>0</v>
      </c>
      <c r="AB12">
        <v>0</v>
      </c>
      <c r="AC12">
        <v>0</v>
      </c>
      <c r="AD12">
        <v>0</v>
      </c>
      <c r="AN12">
        <v>1</v>
      </c>
      <c r="AO12">
        <v>0</v>
      </c>
      <c r="AP12">
        <v>0</v>
      </c>
      <c r="AQ12">
        <v>0</v>
      </c>
      <c r="AR12">
        <v>0</v>
      </c>
      <c r="AT12">
        <v>100</v>
      </c>
      <c r="AV12">
        <v>0</v>
      </c>
      <c r="AW12">
        <v>2</v>
      </c>
      <c r="AX12">
        <v>27551254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ROW(Source!A32)</f>
        <v>32</v>
      </c>
      <c r="B13">
        <v>27551260</v>
      </c>
      <c r="C13">
        <v>27551259</v>
      </c>
      <c r="D13">
        <v>24505677</v>
      </c>
      <c r="E13">
        <v>1</v>
      </c>
      <c r="F13">
        <v>1</v>
      </c>
      <c r="G13">
        <v>1</v>
      </c>
      <c r="H13">
        <v>1</v>
      </c>
      <c r="I13" t="s">
        <v>231</v>
      </c>
      <c r="K13" t="s">
        <v>232</v>
      </c>
      <c r="L13">
        <v>1369</v>
      </c>
      <c r="N13">
        <v>1013</v>
      </c>
      <c r="O13" t="s">
        <v>228</v>
      </c>
      <c r="P13" t="s">
        <v>228</v>
      </c>
      <c r="Q13">
        <v>1</v>
      </c>
      <c r="Y13">
        <v>76.08</v>
      </c>
      <c r="AA13">
        <v>0</v>
      </c>
      <c r="AB13">
        <v>0</v>
      </c>
      <c r="AC13">
        <v>0</v>
      </c>
      <c r="AD13">
        <v>8.46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76.08</v>
      </c>
      <c r="AV13">
        <v>1</v>
      </c>
      <c r="AW13">
        <v>2</v>
      </c>
      <c r="AX13">
        <v>27551268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ROW(Source!A32)</f>
        <v>32</v>
      </c>
      <c r="B14">
        <v>27551261</v>
      </c>
      <c r="C14">
        <v>27551259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28</v>
      </c>
      <c r="K14" t="s">
        <v>229</v>
      </c>
      <c r="L14">
        <v>608254</v>
      </c>
      <c r="N14">
        <v>1013</v>
      </c>
      <c r="O14" t="s">
        <v>230</v>
      </c>
      <c r="P14" t="s">
        <v>230</v>
      </c>
      <c r="Q14">
        <v>1</v>
      </c>
      <c r="Y14">
        <v>0.68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0.68</v>
      </c>
      <c r="AV14">
        <v>2</v>
      </c>
      <c r="AW14">
        <v>2</v>
      </c>
      <c r="AX14">
        <v>27551269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ROW(Source!A32)</f>
        <v>32</v>
      </c>
      <c r="B15">
        <v>27551262</v>
      </c>
      <c r="C15">
        <v>27551259</v>
      </c>
      <c r="D15">
        <v>24450839</v>
      </c>
      <c r="E15">
        <v>1</v>
      </c>
      <c r="F15">
        <v>1</v>
      </c>
      <c r="G15">
        <v>1</v>
      </c>
      <c r="H15">
        <v>2</v>
      </c>
      <c r="I15" t="s">
        <v>233</v>
      </c>
      <c r="J15" t="s">
        <v>234</v>
      </c>
      <c r="K15" t="s">
        <v>235</v>
      </c>
      <c r="L15">
        <v>1368</v>
      </c>
      <c r="N15">
        <v>1011</v>
      </c>
      <c r="O15" t="s">
        <v>236</v>
      </c>
      <c r="P15" t="s">
        <v>236</v>
      </c>
      <c r="Q15">
        <v>1</v>
      </c>
      <c r="Y15">
        <v>0.68</v>
      </c>
      <c r="AA15">
        <v>0</v>
      </c>
      <c r="AB15">
        <v>112</v>
      </c>
      <c r="AC15">
        <v>13.5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0.68</v>
      </c>
      <c r="AV15">
        <v>0</v>
      </c>
      <c r="AW15">
        <v>2</v>
      </c>
      <c r="AX15">
        <v>27551270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ROW(Source!A32)</f>
        <v>32</v>
      </c>
      <c r="B16">
        <v>27551263</v>
      </c>
      <c r="C16">
        <v>27551259</v>
      </c>
      <c r="D16">
        <v>24452575</v>
      </c>
      <c r="E16">
        <v>1</v>
      </c>
      <c r="F16">
        <v>1</v>
      </c>
      <c r="G16">
        <v>1</v>
      </c>
      <c r="H16">
        <v>2</v>
      </c>
      <c r="I16" t="s">
        <v>237</v>
      </c>
      <c r="J16" t="s">
        <v>238</v>
      </c>
      <c r="K16" t="s">
        <v>239</v>
      </c>
      <c r="L16">
        <v>1368</v>
      </c>
      <c r="N16">
        <v>1011</v>
      </c>
      <c r="O16" t="s">
        <v>236</v>
      </c>
      <c r="P16" t="s">
        <v>236</v>
      </c>
      <c r="Q16">
        <v>1</v>
      </c>
      <c r="Y16">
        <v>0.04</v>
      </c>
      <c r="AA16">
        <v>0</v>
      </c>
      <c r="AB16">
        <v>87.17</v>
      </c>
      <c r="AC16">
        <v>11.6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0.04</v>
      </c>
      <c r="AV16">
        <v>0</v>
      </c>
      <c r="AW16">
        <v>2</v>
      </c>
      <c r="AX16">
        <v>27551271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ROW(Source!A32)</f>
        <v>32</v>
      </c>
      <c r="B17">
        <v>27551264</v>
      </c>
      <c r="C17">
        <v>27551259</v>
      </c>
      <c r="D17">
        <v>24454508</v>
      </c>
      <c r="E17">
        <v>1</v>
      </c>
      <c r="F17">
        <v>1</v>
      </c>
      <c r="G17">
        <v>1</v>
      </c>
      <c r="H17">
        <v>3</v>
      </c>
      <c r="I17" t="s">
        <v>240</v>
      </c>
      <c r="J17" t="s">
        <v>241</v>
      </c>
      <c r="K17" t="s">
        <v>242</v>
      </c>
      <c r="L17">
        <v>1348</v>
      </c>
      <c r="N17">
        <v>1009</v>
      </c>
      <c r="O17" t="s">
        <v>87</v>
      </c>
      <c r="P17" t="s">
        <v>87</v>
      </c>
      <c r="Q17">
        <v>1000</v>
      </c>
      <c r="Y17">
        <v>0.001</v>
      </c>
      <c r="AA17">
        <v>11978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0.001</v>
      </c>
      <c r="AV17">
        <v>0</v>
      </c>
      <c r="AW17">
        <v>2</v>
      </c>
      <c r="AX17">
        <v>27551272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ROW(Source!A32)</f>
        <v>32</v>
      </c>
      <c r="B18">
        <v>27551265</v>
      </c>
      <c r="C18">
        <v>27551259</v>
      </c>
      <c r="D18">
        <v>24456413</v>
      </c>
      <c r="E18">
        <v>1</v>
      </c>
      <c r="F18">
        <v>1</v>
      </c>
      <c r="G18">
        <v>1</v>
      </c>
      <c r="H18">
        <v>3</v>
      </c>
      <c r="I18" t="s">
        <v>243</v>
      </c>
      <c r="J18" t="s">
        <v>244</v>
      </c>
      <c r="K18" t="s">
        <v>245</v>
      </c>
      <c r="L18">
        <v>1339</v>
      </c>
      <c r="N18">
        <v>1007</v>
      </c>
      <c r="O18" t="s">
        <v>99</v>
      </c>
      <c r="P18" t="s">
        <v>99</v>
      </c>
      <c r="Q18">
        <v>1</v>
      </c>
      <c r="Y18">
        <v>0.17</v>
      </c>
      <c r="AA18">
        <v>879.99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0.17</v>
      </c>
      <c r="AV18">
        <v>0</v>
      </c>
      <c r="AW18">
        <v>2</v>
      </c>
      <c r="AX18">
        <v>27551273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ROW(Source!A32)</f>
        <v>32</v>
      </c>
      <c r="B19">
        <v>27551266</v>
      </c>
      <c r="C19">
        <v>27551259</v>
      </c>
      <c r="D19">
        <v>24467774</v>
      </c>
      <c r="E19">
        <v>1</v>
      </c>
      <c r="F19">
        <v>1</v>
      </c>
      <c r="G19">
        <v>1</v>
      </c>
      <c r="H19">
        <v>3</v>
      </c>
      <c r="I19" t="s">
        <v>246</v>
      </c>
      <c r="J19" t="s">
        <v>247</v>
      </c>
      <c r="K19" t="s">
        <v>248</v>
      </c>
      <c r="L19">
        <v>1339</v>
      </c>
      <c r="N19">
        <v>1007</v>
      </c>
      <c r="O19" t="s">
        <v>99</v>
      </c>
      <c r="P19" t="s">
        <v>99</v>
      </c>
      <c r="Q19">
        <v>1</v>
      </c>
      <c r="Y19">
        <v>5.9</v>
      </c>
      <c r="AA19">
        <v>638.4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5.9</v>
      </c>
      <c r="AV19">
        <v>0</v>
      </c>
      <c r="AW19">
        <v>2</v>
      </c>
      <c r="AX19">
        <v>27551274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ROW(Source!A32)</f>
        <v>32</v>
      </c>
      <c r="B20">
        <v>27551267</v>
      </c>
      <c r="C20">
        <v>27551259</v>
      </c>
      <c r="D20">
        <v>24468225</v>
      </c>
      <c r="E20">
        <v>1</v>
      </c>
      <c r="F20">
        <v>1</v>
      </c>
      <c r="G20">
        <v>1</v>
      </c>
      <c r="H20">
        <v>3</v>
      </c>
      <c r="I20" t="s">
        <v>249</v>
      </c>
      <c r="J20" t="s">
        <v>250</v>
      </c>
      <c r="K20" t="s">
        <v>251</v>
      </c>
      <c r="L20">
        <v>1339</v>
      </c>
      <c r="N20">
        <v>1007</v>
      </c>
      <c r="O20" t="s">
        <v>99</v>
      </c>
      <c r="P20" t="s">
        <v>99</v>
      </c>
      <c r="Q20">
        <v>1</v>
      </c>
      <c r="Y20">
        <v>0.06</v>
      </c>
      <c r="AA20">
        <v>519.8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0.06</v>
      </c>
      <c r="AV20">
        <v>0</v>
      </c>
      <c r="AW20">
        <v>2</v>
      </c>
      <c r="AX20">
        <v>27551275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ROW(Source!A32)</f>
        <v>32</v>
      </c>
      <c r="B21">
        <v>27551278</v>
      </c>
      <c r="C21">
        <v>27551259</v>
      </c>
      <c r="D21">
        <v>24471175</v>
      </c>
      <c r="E21">
        <v>1</v>
      </c>
      <c r="F21">
        <v>1</v>
      </c>
      <c r="G21">
        <v>1</v>
      </c>
      <c r="H21">
        <v>3</v>
      </c>
      <c r="I21" t="s">
        <v>45</v>
      </c>
      <c r="J21" t="s">
        <v>47</v>
      </c>
      <c r="K21" t="s">
        <v>46</v>
      </c>
      <c r="L21">
        <v>1354</v>
      </c>
      <c r="N21">
        <v>1010</v>
      </c>
      <c r="O21" t="s">
        <v>36</v>
      </c>
      <c r="P21" t="s">
        <v>36</v>
      </c>
      <c r="Q21">
        <v>1</v>
      </c>
      <c r="Y21">
        <v>100</v>
      </c>
      <c r="AA21">
        <v>22.42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100</v>
      </c>
      <c r="AV21">
        <v>0</v>
      </c>
      <c r="AW21">
        <v>1</v>
      </c>
      <c r="AX21">
        <v>-1</v>
      </c>
      <c r="AY21">
        <v>0</v>
      </c>
      <c r="AZ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ROW(Source!A32)</f>
        <v>32</v>
      </c>
      <c r="B22">
        <v>27551280</v>
      </c>
      <c r="C22">
        <v>27551259</v>
      </c>
      <c r="D22">
        <v>24473036</v>
      </c>
      <c r="E22">
        <v>1</v>
      </c>
      <c r="F22">
        <v>1</v>
      </c>
      <c r="G22">
        <v>1</v>
      </c>
      <c r="H22">
        <v>3</v>
      </c>
      <c r="I22" t="s">
        <v>39</v>
      </c>
      <c r="J22" t="s">
        <v>42</v>
      </c>
      <c r="K22" t="s">
        <v>40</v>
      </c>
      <c r="L22">
        <v>1301</v>
      </c>
      <c r="N22">
        <v>1003</v>
      </c>
      <c r="O22" t="s">
        <v>41</v>
      </c>
      <c r="P22" t="s">
        <v>41</v>
      </c>
      <c r="Q22">
        <v>1</v>
      </c>
      <c r="Y22">
        <v>100</v>
      </c>
      <c r="AA22">
        <v>0</v>
      </c>
      <c r="AB22">
        <v>0</v>
      </c>
      <c r="AC22">
        <v>0</v>
      </c>
      <c r="AD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T22">
        <v>100</v>
      </c>
      <c r="AV22">
        <v>0</v>
      </c>
      <c r="AW22">
        <v>2</v>
      </c>
      <c r="AX22">
        <v>27551276</v>
      </c>
      <c r="AY22">
        <v>1</v>
      </c>
      <c r="AZ22">
        <v>0</v>
      </c>
      <c r="BA22">
        <v>20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ROW(Source!A56)</f>
        <v>56</v>
      </c>
      <c r="B23">
        <v>27551314</v>
      </c>
      <c r="C23">
        <v>27551313</v>
      </c>
      <c r="D23">
        <v>4923864</v>
      </c>
      <c r="E23">
        <v>1</v>
      </c>
      <c r="F23">
        <v>1</v>
      </c>
      <c r="G23">
        <v>1</v>
      </c>
      <c r="H23">
        <v>1</v>
      </c>
      <c r="I23" t="s">
        <v>252</v>
      </c>
      <c r="K23" t="s">
        <v>253</v>
      </c>
      <c r="L23">
        <v>1369</v>
      </c>
      <c r="N23">
        <v>1013</v>
      </c>
      <c r="O23" t="s">
        <v>228</v>
      </c>
      <c r="P23" t="s">
        <v>228</v>
      </c>
      <c r="Q23">
        <v>1</v>
      </c>
      <c r="Y23">
        <v>15.08</v>
      </c>
      <c r="AA23">
        <v>0</v>
      </c>
      <c r="AB23">
        <v>0</v>
      </c>
      <c r="AC23">
        <v>0</v>
      </c>
      <c r="AD23">
        <v>7.8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15.08</v>
      </c>
      <c r="AV23">
        <v>1</v>
      </c>
      <c r="AW23">
        <v>2</v>
      </c>
      <c r="AX23">
        <v>27551319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ROW(Source!A56)</f>
        <v>56</v>
      </c>
      <c r="B24">
        <v>27551315</v>
      </c>
      <c r="C24">
        <v>27551313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28</v>
      </c>
      <c r="K24" t="s">
        <v>229</v>
      </c>
      <c r="L24">
        <v>608254</v>
      </c>
      <c r="N24">
        <v>1013</v>
      </c>
      <c r="O24" t="s">
        <v>230</v>
      </c>
      <c r="P24" t="s">
        <v>230</v>
      </c>
      <c r="Q24">
        <v>1</v>
      </c>
      <c r="Y24">
        <v>43.62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43.62</v>
      </c>
      <c r="AV24">
        <v>2</v>
      </c>
      <c r="AW24">
        <v>2</v>
      </c>
      <c r="AX24">
        <v>27551320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ROW(Source!A56)</f>
        <v>56</v>
      </c>
      <c r="B25">
        <v>27551316</v>
      </c>
      <c r="C25">
        <v>27551313</v>
      </c>
      <c r="D25">
        <v>12108308</v>
      </c>
      <c r="E25">
        <v>1</v>
      </c>
      <c r="F25">
        <v>1</v>
      </c>
      <c r="G25">
        <v>1</v>
      </c>
      <c r="H25">
        <v>2</v>
      </c>
      <c r="I25" t="s">
        <v>254</v>
      </c>
      <c r="J25" t="s">
        <v>255</v>
      </c>
      <c r="K25" t="s">
        <v>256</v>
      </c>
      <c r="L25">
        <v>1368</v>
      </c>
      <c r="N25">
        <v>1011</v>
      </c>
      <c r="O25" t="s">
        <v>236</v>
      </c>
      <c r="P25" t="s">
        <v>236</v>
      </c>
      <c r="Q25">
        <v>1</v>
      </c>
      <c r="Y25">
        <v>33.28</v>
      </c>
      <c r="AA25">
        <v>0</v>
      </c>
      <c r="AB25">
        <v>100</v>
      </c>
      <c r="AC25">
        <v>13.5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33.28</v>
      </c>
      <c r="AV25">
        <v>0</v>
      </c>
      <c r="AW25">
        <v>2</v>
      </c>
      <c r="AX25">
        <v>27551321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ROW(Source!A56)</f>
        <v>56</v>
      </c>
      <c r="B26">
        <v>27551317</v>
      </c>
      <c r="C26">
        <v>27551313</v>
      </c>
      <c r="D26">
        <v>12108430</v>
      </c>
      <c r="E26">
        <v>1</v>
      </c>
      <c r="F26">
        <v>1</v>
      </c>
      <c r="G26">
        <v>1</v>
      </c>
      <c r="H26">
        <v>2</v>
      </c>
      <c r="I26" t="s">
        <v>257</v>
      </c>
      <c r="J26" t="s">
        <v>258</v>
      </c>
      <c r="K26" t="s">
        <v>259</v>
      </c>
      <c r="L26">
        <v>1368</v>
      </c>
      <c r="N26">
        <v>1011</v>
      </c>
      <c r="O26" t="s">
        <v>236</v>
      </c>
      <c r="P26" t="s">
        <v>236</v>
      </c>
      <c r="Q26">
        <v>1</v>
      </c>
      <c r="Y26">
        <v>10.34</v>
      </c>
      <c r="AA26">
        <v>0</v>
      </c>
      <c r="AB26">
        <v>80</v>
      </c>
      <c r="AC26">
        <v>14.4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10.34</v>
      </c>
      <c r="AV26">
        <v>0</v>
      </c>
      <c r="AW26">
        <v>2</v>
      </c>
      <c r="AX26">
        <v>27551322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ROW(Source!A56)</f>
        <v>56</v>
      </c>
      <c r="B27">
        <v>27551318</v>
      </c>
      <c r="C27">
        <v>27551313</v>
      </c>
      <c r="D27">
        <v>12042760</v>
      </c>
      <c r="E27">
        <v>1</v>
      </c>
      <c r="F27">
        <v>1</v>
      </c>
      <c r="G27">
        <v>1</v>
      </c>
      <c r="H27">
        <v>3</v>
      </c>
      <c r="I27" t="s">
        <v>260</v>
      </c>
      <c r="J27" t="s">
        <v>261</v>
      </c>
      <c r="K27" t="s">
        <v>262</v>
      </c>
      <c r="L27">
        <v>1339</v>
      </c>
      <c r="N27">
        <v>1007</v>
      </c>
      <c r="O27" t="s">
        <v>99</v>
      </c>
      <c r="P27" t="s">
        <v>99</v>
      </c>
      <c r="Q27">
        <v>1</v>
      </c>
      <c r="Y27">
        <v>0.04</v>
      </c>
      <c r="AA27">
        <v>108.4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0.04</v>
      </c>
      <c r="AV27">
        <v>0</v>
      </c>
      <c r="AW27">
        <v>2</v>
      </c>
      <c r="AX27">
        <v>27551323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ROW(Source!A58)</f>
        <v>58</v>
      </c>
      <c r="B28">
        <v>27551366</v>
      </c>
      <c r="C28">
        <v>27551324</v>
      </c>
      <c r="D28">
        <v>24503104</v>
      </c>
      <c r="E28">
        <v>1</v>
      </c>
      <c r="F28">
        <v>1</v>
      </c>
      <c r="G28">
        <v>1</v>
      </c>
      <c r="H28">
        <v>1</v>
      </c>
      <c r="I28" t="s">
        <v>226</v>
      </c>
      <c r="K28" t="s">
        <v>227</v>
      </c>
      <c r="L28">
        <v>1369</v>
      </c>
      <c r="N28">
        <v>1013</v>
      </c>
      <c r="O28" t="s">
        <v>228</v>
      </c>
      <c r="P28" t="s">
        <v>228</v>
      </c>
      <c r="Q28">
        <v>1</v>
      </c>
      <c r="Y28">
        <v>15.72</v>
      </c>
      <c r="AA28">
        <v>0</v>
      </c>
      <c r="AB28">
        <v>0</v>
      </c>
      <c r="AC28">
        <v>0</v>
      </c>
      <c r="AD28">
        <v>8.02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15.72</v>
      </c>
      <c r="AV28">
        <v>1</v>
      </c>
      <c r="AW28">
        <v>2</v>
      </c>
      <c r="AX28">
        <v>27551366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ROW(Source!A58)</f>
        <v>58</v>
      </c>
      <c r="B29">
        <v>27551367</v>
      </c>
      <c r="C29">
        <v>27551324</v>
      </c>
      <c r="D29">
        <v>121548</v>
      </c>
      <c r="E29">
        <v>1</v>
      </c>
      <c r="F29">
        <v>1</v>
      </c>
      <c r="G29">
        <v>1</v>
      </c>
      <c r="H29">
        <v>1</v>
      </c>
      <c r="I29" t="s">
        <v>28</v>
      </c>
      <c r="K29" t="s">
        <v>229</v>
      </c>
      <c r="L29">
        <v>608254</v>
      </c>
      <c r="N29">
        <v>1013</v>
      </c>
      <c r="O29" t="s">
        <v>230</v>
      </c>
      <c r="P29" t="s">
        <v>230</v>
      </c>
      <c r="Q29">
        <v>1</v>
      </c>
      <c r="Y29">
        <v>13.88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13.88</v>
      </c>
      <c r="AV29">
        <v>2</v>
      </c>
      <c r="AW29">
        <v>2</v>
      </c>
      <c r="AX29">
        <v>27551367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ROW(Source!A58)</f>
        <v>58</v>
      </c>
      <c r="B30">
        <v>27551368</v>
      </c>
      <c r="C30">
        <v>27551324</v>
      </c>
      <c r="D30">
        <v>24450908</v>
      </c>
      <c r="E30">
        <v>1</v>
      </c>
      <c r="F30">
        <v>1</v>
      </c>
      <c r="G30">
        <v>1</v>
      </c>
      <c r="H30">
        <v>2</v>
      </c>
      <c r="I30" t="s">
        <v>263</v>
      </c>
      <c r="J30" t="s">
        <v>264</v>
      </c>
      <c r="K30" t="s">
        <v>265</v>
      </c>
      <c r="L30">
        <v>1368</v>
      </c>
      <c r="N30">
        <v>1011</v>
      </c>
      <c r="O30" t="s">
        <v>236</v>
      </c>
      <c r="P30" t="s">
        <v>236</v>
      </c>
      <c r="Q30">
        <v>1</v>
      </c>
      <c r="Y30">
        <v>4.29</v>
      </c>
      <c r="AA30">
        <v>0</v>
      </c>
      <c r="AB30">
        <v>99.89</v>
      </c>
      <c r="AC30">
        <v>10.06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4.29</v>
      </c>
      <c r="AV30">
        <v>0</v>
      </c>
      <c r="AW30">
        <v>2</v>
      </c>
      <c r="AX30">
        <v>27551368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ROW(Source!A58)</f>
        <v>58</v>
      </c>
      <c r="B31">
        <v>27551369</v>
      </c>
      <c r="C31">
        <v>27551324</v>
      </c>
      <c r="D31">
        <v>24451440</v>
      </c>
      <c r="E31">
        <v>1</v>
      </c>
      <c r="F31">
        <v>1</v>
      </c>
      <c r="G31">
        <v>1</v>
      </c>
      <c r="H31">
        <v>2</v>
      </c>
      <c r="I31" t="s">
        <v>266</v>
      </c>
      <c r="J31" t="s">
        <v>267</v>
      </c>
      <c r="K31" t="s">
        <v>268</v>
      </c>
      <c r="L31">
        <v>1368</v>
      </c>
      <c r="N31">
        <v>1011</v>
      </c>
      <c r="O31" t="s">
        <v>236</v>
      </c>
      <c r="P31" t="s">
        <v>236</v>
      </c>
      <c r="Q31">
        <v>1</v>
      </c>
      <c r="Y31">
        <v>1.77</v>
      </c>
      <c r="AA31">
        <v>0</v>
      </c>
      <c r="AB31">
        <v>123</v>
      </c>
      <c r="AC31">
        <v>13.5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1.77</v>
      </c>
      <c r="AV31">
        <v>0</v>
      </c>
      <c r="AW31">
        <v>2</v>
      </c>
      <c r="AX31">
        <v>27551369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ROW(Source!A58)</f>
        <v>58</v>
      </c>
      <c r="B32">
        <v>27551370</v>
      </c>
      <c r="C32">
        <v>27551324</v>
      </c>
      <c r="D32">
        <v>24451470</v>
      </c>
      <c r="E32">
        <v>1</v>
      </c>
      <c r="F32">
        <v>1</v>
      </c>
      <c r="G32">
        <v>1</v>
      </c>
      <c r="H32">
        <v>2</v>
      </c>
      <c r="I32" t="s">
        <v>269</v>
      </c>
      <c r="J32" t="s">
        <v>270</v>
      </c>
      <c r="K32" t="s">
        <v>271</v>
      </c>
      <c r="L32">
        <v>1368</v>
      </c>
      <c r="N32">
        <v>1011</v>
      </c>
      <c r="O32" t="s">
        <v>236</v>
      </c>
      <c r="P32" t="s">
        <v>236</v>
      </c>
      <c r="Q32">
        <v>1</v>
      </c>
      <c r="Y32">
        <v>7.08</v>
      </c>
      <c r="AA32">
        <v>0</v>
      </c>
      <c r="AB32">
        <v>206.01</v>
      </c>
      <c r="AC32">
        <v>14.4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7.08</v>
      </c>
      <c r="AV32">
        <v>0</v>
      </c>
      <c r="AW32">
        <v>2</v>
      </c>
      <c r="AX32">
        <v>27551370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ROW(Source!A58)</f>
        <v>58</v>
      </c>
      <c r="B33">
        <v>27551371</v>
      </c>
      <c r="C33">
        <v>27551324</v>
      </c>
      <c r="D33">
        <v>24451524</v>
      </c>
      <c r="E33">
        <v>1</v>
      </c>
      <c r="F33">
        <v>1</v>
      </c>
      <c r="G33">
        <v>1</v>
      </c>
      <c r="H33">
        <v>2</v>
      </c>
      <c r="I33" t="s">
        <v>272</v>
      </c>
      <c r="J33" t="s">
        <v>273</v>
      </c>
      <c r="K33" t="s">
        <v>274</v>
      </c>
      <c r="L33">
        <v>1368</v>
      </c>
      <c r="N33">
        <v>1011</v>
      </c>
      <c r="O33" t="s">
        <v>236</v>
      </c>
      <c r="P33" t="s">
        <v>236</v>
      </c>
      <c r="Q33">
        <v>1</v>
      </c>
      <c r="Y33">
        <v>0.74</v>
      </c>
      <c r="AA33">
        <v>0</v>
      </c>
      <c r="AB33">
        <v>110</v>
      </c>
      <c r="AC33">
        <v>11.6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0.74</v>
      </c>
      <c r="AV33">
        <v>0</v>
      </c>
      <c r="AW33">
        <v>2</v>
      </c>
      <c r="AX33">
        <v>27551371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ROW(Source!A58)</f>
        <v>58</v>
      </c>
      <c r="B34">
        <v>27551372</v>
      </c>
      <c r="C34">
        <v>27551324</v>
      </c>
      <c r="D34">
        <v>24472042</v>
      </c>
      <c r="E34">
        <v>1</v>
      </c>
      <c r="F34">
        <v>1</v>
      </c>
      <c r="G34">
        <v>1</v>
      </c>
      <c r="H34">
        <v>3</v>
      </c>
      <c r="I34" t="s">
        <v>97</v>
      </c>
      <c r="J34" t="s">
        <v>100</v>
      </c>
      <c r="K34" t="s">
        <v>98</v>
      </c>
      <c r="L34">
        <v>1339</v>
      </c>
      <c r="N34">
        <v>1007</v>
      </c>
      <c r="O34" t="s">
        <v>99</v>
      </c>
      <c r="P34" t="s">
        <v>99</v>
      </c>
      <c r="Q34">
        <v>1</v>
      </c>
      <c r="Y34">
        <v>110</v>
      </c>
      <c r="AA34">
        <v>55.26</v>
      </c>
      <c r="AB34">
        <v>0</v>
      </c>
      <c r="AC34">
        <v>0</v>
      </c>
      <c r="AD34">
        <v>0</v>
      </c>
      <c r="AN34">
        <v>1</v>
      </c>
      <c r="AO34">
        <v>0</v>
      </c>
      <c r="AP34">
        <v>0</v>
      </c>
      <c r="AQ34">
        <v>0</v>
      </c>
      <c r="AR34">
        <v>0</v>
      </c>
      <c r="AT34">
        <v>110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ROW(Source!A58)</f>
        <v>58</v>
      </c>
      <c r="B35">
        <v>27551373</v>
      </c>
      <c r="C35">
        <v>27551324</v>
      </c>
      <c r="D35">
        <v>24472293</v>
      </c>
      <c r="E35">
        <v>1</v>
      </c>
      <c r="F35">
        <v>1</v>
      </c>
      <c r="G35">
        <v>1</v>
      </c>
      <c r="H35">
        <v>3</v>
      </c>
      <c r="I35" t="s">
        <v>275</v>
      </c>
      <c r="J35" t="s">
        <v>276</v>
      </c>
      <c r="K35" t="s">
        <v>277</v>
      </c>
      <c r="L35">
        <v>1339</v>
      </c>
      <c r="N35">
        <v>1007</v>
      </c>
      <c r="O35" t="s">
        <v>99</v>
      </c>
      <c r="P35" t="s">
        <v>99</v>
      </c>
      <c r="Q35">
        <v>1</v>
      </c>
      <c r="Y35">
        <v>5</v>
      </c>
      <c r="AA35">
        <v>2.44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5</v>
      </c>
      <c r="AV35">
        <v>0</v>
      </c>
      <c r="AW35">
        <v>2</v>
      </c>
      <c r="AX35">
        <v>27551373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ROW(Source!A60)</f>
        <v>60</v>
      </c>
      <c r="B36">
        <v>27551375</v>
      </c>
      <c r="C36">
        <v>27551344</v>
      </c>
      <c r="D36">
        <v>24505038</v>
      </c>
      <c r="E36">
        <v>1</v>
      </c>
      <c r="F36">
        <v>1</v>
      </c>
      <c r="G36">
        <v>1</v>
      </c>
      <c r="H36">
        <v>1</v>
      </c>
      <c r="I36" t="s">
        <v>278</v>
      </c>
      <c r="K36" t="s">
        <v>279</v>
      </c>
      <c r="L36">
        <v>1369</v>
      </c>
      <c r="N36">
        <v>1013</v>
      </c>
      <c r="O36" t="s">
        <v>228</v>
      </c>
      <c r="P36" t="s">
        <v>228</v>
      </c>
      <c r="Q36">
        <v>1</v>
      </c>
      <c r="Y36">
        <v>24.19</v>
      </c>
      <c r="AA36">
        <v>0</v>
      </c>
      <c r="AB36">
        <v>0</v>
      </c>
      <c r="AC36">
        <v>0</v>
      </c>
      <c r="AD36">
        <v>8.09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24.19</v>
      </c>
      <c r="AV36">
        <v>1</v>
      </c>
      <c r="AW36">
        <v>2</v>
      </c>
      <c r="AX36">
        <v>27551375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ROW(Source!A60)</f>
        <v>60</v>
      </c>
      <c r="B37">
        <v>27551376</v>
      </c>
      <c r="C37">
        <v>27551344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28</v>
      </c>
      <c r="K37" t="s">
        <v>229</v>
      </c>
      <c r="L37">
        <v>608254</v>
      </c>
      <c r="N37">
        <v>1013</v>
      </c>
      <c r="O37" t="s">
        <v>230</v>
      </c>
      <c r="P37" t="s">
        <v>230</v>
      </c>
      <c r="Q37">
        <v>1</v>
      </c>
      <c r="Y37">
        <v>20.6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20.6</v>
      </c>
      <c r="AV37">
        <v>2</v>
      </c>
      <c r="AW37">
        <v>2</v>
      </c>
      <c r="AX37">
        <v>27551376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ROW(Source!A60)</f>
        <v>60</v>
      </c>
      <c r="B38">
        <v>27551377</v>
      </c>
      <c r="C38">
        <v>27551344</v>
      </c>
      <c r="D38">
        <v>24450908</v>
      </c>
      <c r="E38">
        <v>1</v>
      </c>
      <c r="F38">
        <v>1</v>
      </c>
      <c r="G38">
        <v>1</v>
      </c>
      <c r="H38">
        <v>2</v>
      </c>
      <c r="I38" t="s">
        <v>263</v>
      </c>
      <c r="J38" t="s">
        <v>264</v>
      </c>
      <c r="K38" t="s">
        <v>265</v>
      </c>
      <c r="L38">
        <v>1368</v>
      </c>
      <c r="N38">
        <v>1011</v>
      </c>
      <c r="O38" t="s">
        <v>236</v>
      </c>
      <c r="P38" t="s">
        <v>236</v>
      </c>
      <c r="Q38">
        <v>1</v>
      </c>
      <c r="Y38">
        <v>2.46</v>
      </c>
      <c r="AA38">
        <v>0</v>
      </c>
      <c r="AB38">
        <v>99.89</v>
      </c>
      <c r="AC38">
        <v>10.06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2.46</v>
      </c>
      <c r="AV38">
        <v>0</v>
      </c>
      <c r="AW38">
        <v>2</v>
      </c>
      <c r="AX38">
        <v>27551377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ROW(Source!A60)</f>
        <v>60</v>
      </c>
      <c r="B39">
        <v>27551378</v>
      </c>
      <c r="C39">
        <v>27551344</v>
      </c>
      <c r="D39">
        <v>24451199</v>
      </c>
      <c r="E39">
        <v>1</v>
      </c>
      <c r="F39">
        <v>1</v>
      </c>
      <c r="G39">
        <v>1</v>
      </c>
      <c r="H39">
        <v>2</v>
      </c>
      <c r="I39" t="s">
        <v>257</v>
      </c>
      <c r="J39" t="s">
        <v>280</v>
      </c>
      <c r="K39" t="s">
        <v>281</v>
      </c>
      <c r="L39">
        <v>1368</v>
      </c>
      <c r="N39">
        <v>1011</v>
      </c>
      <c r="O39" t="s">
        <v>236</v>
      </c>
      <c r="P39" t="s">
        <v>236</v>
      </c>
      <c r="Q39">
        <v>1</v>
      </c>
      <c r="Y39">
        <v>2.59</v>
      </c>
      <c r="AA39">
        <v>0</v>
      </c>
      <c r="AB39">
        <v>80.01</v>
      </c>
      <c r="AC39">
        <v>14.4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2.59</v>
      </c>
      <c r="AV39">
        <v>0</v>
      </c>
      <c r="AW39">
        <v>2</v>
      </c>
      <c r="AX39">
        <v>27551378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ROW(Source!A60)</f>
        <v>60</v>
      </c>
      <c r="B40">
        <v>27551379</v>
      </c>
      <c r="C40">
        <v>27551344</v>
      </c>
      <c r="D40">
        <v>24451440</v>
      </c>
      <c r="E40">
        <v>1</v>
      </c>
      <c r="F40">
        <v>1</v>
      </c>
      <c r="G40">
        <v>1</v>
      </c>
      <c r="H40">
        <v>2</v>
      </c>
      <c r="I40" t="s">
        <v>266</v>
      </c>
      <c r="J40" t="s">
        <v>267</v>
      </c>
      <c r="K40" t="s">
        <v>268</v>
      </c>
      <c r="L40">
        <v>1368</v>
      </c>
      <c r="N40">
        <v>1011</v>
      </c>
      <c r="O40" t="s">
        <v>236</v>
      </c>
      <c r="P40" t="s">
        <v>236</v>
      </c>
      <c r="Q40">
        <v>1</v>
      </c>
      <c r="Y40">
        <v>2.3</v>
      </c>
      <c r="AA40">
        <v>0</v>
      </c>
      <c r="AB40">
        <v>123</v>
      </c>
      <c r="AC40">
        <v>13.5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2.3</v>
      </c>
      <c r="AV40">
        <v>0</v>
      </c>
      <c r="AW40">
        <v>2</v>
      </c>
      <c r="AX40">
        <v>27551379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ROW(Source!A60)</f>
        <v>60</v>
      </c>
      <c r="B41">
        <v>27551380</v>
      </c>
      <c r="C41">
        <v>27551344</v>
      </c>
      <c r="D41">
        <v>24451470</v>
      </c>
      <c r="E41">
        <v>1</v>
      </c>
      <c r="F41">
        <v>1</v>
      </c>
      <c r="G41">
        <v>1</v>
      </c>
      <c r="H41">
        <v>2</v>
      </c>
      <c r="I41" t="s">
        <v>269</v>
      </c>
      <c r="J41" t="s">
        <v>270</v>
      </c>
      <c r="K41" t="s">
        <v>271</v>
      </c>
      <c r="L41">
        <v>1368</v>
      </c>
      <c r="N41">
        <v>1011</v>
      </c>
      <c r="O41" t="s">
        <v>236</v>
      </c>
      <c r="P41" t="s">
        <v>236</v>
      </c>
      <c r="Q41">
        <v>1</v>
      </c>
      <c r="Y41">
        <v>12.21</v>
      </c>
      <c r="AA41">
        <v>0</v>
      </c>
      <c r="AB41">
        <v>206.01</v>
      </c>
      <c r="AC41">
        <v>14.4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12.21</v>
      </c>
      <c r="AV41">
        <v>0</v>
      </c>
      <c r="AW41">
        <v>2</v>
      </c>
      <c r="AX41">
        <v>27551380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ROW(Source!A60)</f>
        <v>60</v>
      </c>
      <c r="B42">
        <v>27551381</v>
      </c>
      <c r="C42">
        <v>27551344</v>
      </c>
      <c r="D42">
        <v>24451524</v>
      </c>
      <c r="E42">
        <v>1</v>
      </c>
      <c r="F42">
        <v>1</v>
      </c>
      <c r="G42">
        <v>1</v>
      </c>
      <c r="H42">
        <v>2</v>
      </c>
      <c r="I42" t="s">
        <v>272</v>
      </c>
      <c r="J42" t="s">
        <v>273</v>
      </c>
      <c r="K42" t="s">
        <v>274</v>
      </c>
      <c r="L42">
        <v>1368</v>
      </c>
      <c r="N42">
        <v>1011</v>
      </c>
      <c r="O42" t="s">
        <v>236</v>
      </c>
      <c r="P42" t="s">
        <v>236</v>
      </c>
      <c r="Q42">
        <v>1</v>
      </c>
      <c r="Y42">
        <v>1.04</v>
      </c>
      <c r="AA42">
        <v>0</v>
      </c>
      <c r="AB42">
        <v>110</v>
      </c>
      <c r="AC42">
        <v>11.6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1.04</v>
      </c>
      <c r="AV42">
        <v>0</v>
      </c>
      <c r="AW42">
        <v>2</v>
      </c>
      <c r="AX42">
        <v>27551381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ROW(Source!A60)</f>
        <v>60</v>
      </c>
      <c r="B43">
        <v>27551382</v>
      </c>
      <c r="C43">
        <v>27551344</v>
      </c>
      <c r="D43">
        <v>24472140</v>
      </c>
      <c r="E43">
        <v>1</v>
      </c>
      <c r="F43">
        <v>1</v>
      </c>
      <c r="G43">
        <v>1</v>
      </c>
      <c r="H43">
        <v>3</v>
      </c>
      <c r="I43" t="s">
        <v>106</v>
      </c>
      <c r="J43" t="s">
        <v>108</v>
      </c>
      <c r="K43" t="s">
        <v>107</v>
      </c>
      <c r="L43">
        <v>1339</v>
      </c>
      <c r="N43">
        <v>1007</v>
      </c>
      <c r="O43" t="s">
        <v>99</v>
      </c>
      <c r="P43" t="s">
        <v>99</v>
      </c>
      <c r="Q43">
        <v>1</v>
      </c>
      <c r="Y43">
        <v>125</v>
      </c>
      <c r="AA43">
        <v>98.6</v>
      </c>
      <c r="AB43">
        <v>0</v>
      </c>
      <c r="AC43">
        <v>0</v>
      </c>
      <c r="AD43">
        <v>0</v>
      </c>
      <c r="AN43">
        <v>1</v>
      </c>
      <c r="AO43">
        <v>0</v>
      </c>
      <c r="AP43">
        <v>0</v>
      </c>
      <c r="AQ43">
        <v>0</v>
      </c>
      <c r="AR43">
        <v>0</v>
      </c>
      <c r="AT43">
        <v>125</v>
      </c>
      <c r="AV43">
        <v>0</v>
      </c>
      <c r="AW43">
        <v>1</v>
      </c>
      <c r="AX43">
        <v>-1</v>
      </c>
      <c r="AY43">
        <v>0</v>
      </c>
      <c r="AZ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ROW(Source!A60)</f>
        <v>60</v>
      </c>
      <c r="B44">
        <v>27551383</v>
      </c>
      <c r="C44">
        <v>27551344</v>
      </c>
      <c r="D44">
        <v>24472293</v>
      </c>
      <c r="E44">
        <v>1</v>
      </c>
      <c r="F44">
        <v>1</v>
      </c>
      <c r="G44">
        <v>1</v>
      </c>
      <c r="H44">
        <v>3</v>
      </c>
      <c r="I44" t="s">
        <v>275</v>
      </c>
      <c r="J44" t="s">
        <v>276</v>
      </c>
      <c r="K44" t="s">
        <v>277</v>
      </c>
      <c r="L44">
        <v>1339</v>
      </c>
      <c r="N44">
        <v>1007</v>
      </c>
      <c r="O44" t="s">
        <v>99</v>
      </c>
      <c r="P44" t="s">
        <v>99</v>
      </c>
      <c r="Q44">
        <v>1</v>
      </c>
      <c r="Y44">
        <v>7</v>
      </c>
      <c r="AA44">
        <v>2.44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7</v>
      </c>
      <c r="AV44">
        <v>0</v>
      </c>
      <c r="AW44">
        <v>2</v>
      </c>
      <c r="AX44">
        <v>27551383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ROW(Source!A83)</f>
        <v>83</v>
      </c>
      <c r="B45">
        <v>27551467</v>
      </c>
      <c r="C45">
        <v>27551466</v>
      </c>
      <c r="D45">
        <v>24505038</v>
      </c>
      <c r="E45">
        <v>1</v>
      </c>
      <c r="F45">
        <v>1</v>
      </c>
      <c r="G45">
        <v>1</v>
      </c>
      <c r="H45">
        <v>1</v>
      </c>
      <c r="I45" t="s">
        <v>278</v>
      </c>
      <c r="K45" t="s">
        <v>279</v>
      </c>
      <c r="L45">
        <v>1369</v>
      </c>
      <c r="N45">
        <v>1013</v>
      </c>
      <c r="O45" t="s">
        <v>228</v>
      </c>
      <c r="P45" t="s">
        <v>228</v>
      </c>
      <c r="Q45">
        <v>1</v>
      </c>
      <c r="Y45">
        <v>24.19</v>
      </c>
      <c r="AA45">
        <v>0</v>
      </c>
      <c r="AB45">
        <v>0</v>
      </c>
      <c r="AC45">
        <v>0</v>
      </c>
      <c r="AD45">
        <v>8.09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24.19</v>
      </c>
      <c r="AV45">
        <v>1</v>
      </c>
      <c r="AW45">
        <v>2</v>
      </c>
      <c r="AX45">
        <v>27551475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ROW(Source!A83)</f>
        <v>83</v>
      </c>
      <c r="B46">
        <v>27551468</v>
      </c>
      <c r="C46">
        <v>27551466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28</v>
      </c>
      <c r="K46" t="s">
        <v>229</v>
      </c>
      <c r="L46">
        <v>608254</v>
      </c>
      <c r="N46">
        <v>1013</v>
      </c>
      <c r="O46" t="s">
        <v>230</v>
      </c>
      <c r="P46" t="s">
        <v>230</v>
      </c>
      <c r="Q46">
        <v>1</v>
      </c>
      <c r="Y46">
        <v>20.6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20.6</v>
      </c>
      <c r="AV46">
        <v>2</v>
      </c>
      <c r="AW46">
        <v>2</v>
      </c>
      <c r="AX46">
        <v>27551476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ROW(Source!A83)</f>
        <v>83</v>
      </c>
      <c r="B47">
        <v>27551469</v>
      </c>
      <c r="C47">
        <v>27551466</v>
      </c>
      <c r="D47">
        <v>24450908</v>
      </c>
      <c r="E47">
        <v>1</v>
      </c>
      <c r="F47">
        <v>1</v>
      </c>
      <c r="G47">
        <v>1</v>
      </c>
      <c r="H47">
        <v>2</v>
      </c>
      <c r="I47" t="s">
        <v>263</v>
      </c>
      <c r="J47" t="s">
        <v>264</v>
      </c>
      <c r="K47" t="s">
        <v>265</v>
      </c>
      <c r="L47">
        <v>1368</v>
      </c>
      <c r="N47">
        <v>1011</v>
      </c>
      <c r="O47" t="s">
        <v>236</v>
      </c>
      <c r="P47" t="s">
        <v>236</v>
      </c>
      <c r="Q47">
        <v>1</v>
      </c>
      <c r="Y47">
        <v>2.46</v>
      </c>
      <c r="AA47">
        <v>0</v>
      </c>
      <c r="AB47">
        <v>99.89</v>
      </c>
      <c r="AC47">
        <v>10.06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2.46</v>
      </c>
      <c r="AV47">
        <v>0</v>
      </c>
      <c r="AW47">
        <v>2</v>
      </c>
      <c r="AX47">
        <v>27551477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ROW(Source!A83)</f>
        <v>83</v>
      </c>
      <c r="B48">
        <v>27551470</v>
      </c>
      <c r="C48">
        <v>27551466</v>
      </c>
      <c r="D48">
        <v>24451199</v>
      </c>
      <c r="E48">
        <v>1</v>
      </c>
      <c r="F48">
        <v>1</v>
      </c>
      <c r="G48">
        <v>1</v>
      </c>
      <c r="H48">
        <v>2</v>
      </c>
      <c r="I48" t="s">
        <v>257</v>
      </c>
      <c r="J48" t="s">
        <v>280</v>
      </c>
      <c r="K48" t="s">
        <v>281</v>
      </c>
      <c r="L48">
        <v>1368</v>
      </c>
      <c r="N48">
        <v>1011</v>
      </c>
      <c r="O48" t="s">
        <v>236</v>
      </c>
      <c r="P48" t="s">
        <v>236</v>
      </c>
      <c r="Q48">
        <v>1</v>
      </c>
      <c r="Y48">
        <v>2.59</v>
      </c>
      <c r="AA48">
        <v>0</v>
      </c>
      <c r="AB48">
        <v>80.01</v>
      </c>
      <c r="AC48">
        <v>14.4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2.59</v>
      </c>
      <c r="AV48">
        <v>0</v>
      </c>
      <c r="AW48">
        <v>2</v>
      </c>
      <c r="AX48">
        <v>27551478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ROW(Source!A83)</f>
        <v>83</v>
      </c>
      <c r="B49">
        <v>27551471</v>
      </c>
      <c r="C49">
        <v>27551466</v>
      </c>
      <c r="D49">
        <v>24451440</v>
      </c>
      <c r="E49">
        <v>1</v>
      </c>
      <c r="F49">
        <v>1</v>
      </c>
      <c r="G49">
        <v>1</v>
      </c>
      <c r="H49">
        <v>2</v>
      </c>
      <c r="I49" t="s">
        <v>266</v>
      </c>
      <c r="J49" t="s">
        <v>267</v>
      </c>
      <c r="K49" t="s">
        <v>268</v>
      </c>
      <c r="L49">
        <v>1368</v>
      </c>
      <c r="N49">
        <v>1011</v>
      </c>
      <c r="O49" t="s">
        <v>236</v>
      </c>
      <c r="P49" t="s">
        <v>236</v>
      </c>
      <c r="Q49">
        <v>1</v>
      </c>
      <c r="Y49">
        <v>2.3</v>
      </c>
      <c r="AA49">
        <v>0</v>
      </c>
      <c r="AB49">
        <v>123</v>
      </c>
      <c r="AC49">
        <v>13.5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2.3</v>
      </c>
      <c r="AV49">
        <v>0</v>
      </c>
      <c r="AW49">
        <v>2</v>
      </c>
      <c r="AX49">
        <v>27551479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ROW(Source!A83)</f>
        <v>83</v>
      </c>
      <c r="B50">
        <v>27551472</v>
      </c>
      <c r="C50">
        <v>27551466</v>
      </c>
      <c r="D50">
        <v>24451470</v>
      </c>
      <c r="E50">
        <v>1</v>
      </c>
      <c r="F50">
        <v>1</v>
      </c>
      <c r="G50">
        <v>1</v>
      </c>
      <c r="H50">
        <v>2</v>
      </c>
      <c r="I50" t="s">
        <v>269</v>
      </c>
      <c r="J50" t="s">
        <v>270</v>
      </c>
      <c r="K50" t="s">
        <v>271</v>
      </c>
      <c r="L50">
        <v>1368</v>
      </c>
      <c r="N50">
        <v>1011</v>
      </c>
      <c r="O50" t="s">
        <v>236</v>
      </c>
      <c r="P50" t="s">
        <v>236</v>
      </c>
      <c r="Q50">
        <v>1</v>
      </c>
      <c r="Y50">
        <v>12.21</v>
      </c>
      <c r="AA50">
        <v>0</v>
      </c>
      <c r="AB50">
        <v>206.01</v>
      </c>
      <c r="AC50">
        <v>14.4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12.21</v>
      </c>
      <c r="AV50">
        <v>0</v>
      </c>
      <c r="AW50">
        <v>2</v>
      </c>
      <c r="AX50">
        <v>27551480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ROW(Source!A83)</f>
        <v>83</v>
      </c>
      <c r="B51">
        <v>27551473</v>
      </c>
      <c r="C51">
        <v>27551466</v>
      </c>
      <c r="D51">
        <v>24451524</v>
      </c>
      <c r="E51">
        <v>1</v>
      </c>
      <c r="F51">
        <v>1</v>
      </c>
      <c r="G51">
        <v>1</v>
      </c>
      <c r="H51">
        <v>2</v>
      </c>
      <c r="I51" t="s">
        <v>272</v>
      </c>
      <c r="J51" t="s">
        <v>273</v>
      </c>
      <c r="K51" t="s">
        <v>274</v>
      </c>
      <c r="L51">
        <v>1368</v>
      </c>
      <c r="N51">
        <v>1011</v>
      </c>
      <c r="O51" t="s">
        <v>236</v>
      </c>
      <c r="P51" t="s">
        <v>236</v>
      </c>
      <c r="Q51">
        <v>1</v>
      </c>
      <c r="Y51">
        <v>1.04</v>
      </c>
      <c r="AA51">
        <v>0</v>
      </c>
      <c r="AB51">
        <v>110</v>
      </c>
      <c r="AC51">
        <v>11.6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1.04</v>
      </c>
      <c r="AV51">
        <v>0</v>
      </c>
      <c r="AW51">
        <v>2</v>
      </c>
      <c r="AX51">
        <v>27551481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ROW(Source!A83)</f>
        <v>83</v>
      </c>
      <c r="B52">
        <v>27551485</v>
      </c>
      <c r="C52">
        <v>27551466</v>
      </c>
      <c r="D52">
        <v>24472140</v>
      </c>
      <c r="E52">
        <v>1</v>
      </c>
      <c r="F52">
        <v>1</v>
      </c>
      <c r="G52">
        <v>1</v>
      </c>
      <c r="H52">
        <v>3</v>
      </c>
      <c r="I52" t="s">
        <v>106</v>
      </c>
      <c r="J52" t="s">
        <v>108</v>
      </c>
      <c r="K52" t="s">
        <v>107</v>
      </c>
      <c r="L52">
        <v>1339</v>
      </c>
      <c r="N52">
        <v>1007</v>
      </c>
      <c r="O52" t="s">
        <v>99</v>
      </c>
      <c r="P52" t="s">
        <v>99</v>
      </c>
      <c r="Q52">
        <v>1</v>
      </c>
      <c r="Y52">
        <v>125</v>
      </c>
      <c r="AA52">
        <v>98.6</v>
      </c>
      <c r="AB52">
        <v>0</v>
      </c>
      <c r="AC52">
        <v>0</v>
      </c>
      <c r="AD52">
        <v>0</v>
      </c>
      <c r="AN52">
        <v>1</v>
      </c>
      <c r="AO52">
        <v>0</v>
      </c>
      <c r="AP52">
        <v>0</v>
      </c>
      <c r="AQ52">
        <v>0</v>
      </c>
      <c r="AR52">
        <v>0</v>
      </c>
      <c r="AT52">
        <v>125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ROW(Source!A83)</f>
        <v>83</v>
      </c>
      <c r="B53">
        <v>27551474</v>
      </c>
      <c r="C53">
        <v>27551466</v>
      </c>
      <c r="D53">
        <v>24472293</v>
      </c>
      <c r="E53">
        <v>1</v>
      </c>
      <c r="F53">
        <v>1</v>
      </c>
      <c r="G53">
        <v>1</v>
      </c>
      <c r="H53">
        <v>3</v>
      </c>
      <c r="I53" t="s">
        <v>275</v>
      </c>
      <c r="J53" t="s">
        <v>276</v>
      </c>
      <c r="K53" t="s">
        <v>277</v>
      </c>
      <c r="L53">
        <v>1339</v>
      </c>
      <c r="N53">
        <v>1007</v>
      </c>
      <c r="O53" t="s">
        <v>99</v>
      </c>
      <c r="P53" t="s">
        <v>99</v>
      </c>
      <c r="Q53">
        <v>1</v>
      </c>
      <c r="Y53">
        <v>7</v>
      </c>
      <c r="AA53">
        <v>2.44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7</v>
      </c>
      <c r="AV53">
        <v>0</v>
      </c>
      <c r="AW53">
        <v>2</v>
      </c>
      <c r="AX53">
        <v>27551483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ROW(Source!A85)</f>
        <v>85</v>
      </c>
      <c r="B54">
        <v>27551528</v>
      </c>
      <c r="C54">
        <v>27551486</v>
      </c>
      <c r="D54">
        <v>24506163</v>
      </c>
      <c r="E54">
        <v>1</v>
      </c>
      <c r="F54">
        <v>1</v>
      </c>
      <c r="G54">
        <v>1</v>
      </c>
      <c r="H54">
        <v>1</v>
      </c>
      <c r="I54" t="s">
        <v>282</v>
      </c>
      <c r="K54" t="s">
        <v>283</v>
      </c>
      <c r="L54">
        <v>1369</v>
      </c>
      <c r="N54">
        <v>1013</v>
      </c>
      <c r="O54" t="s">
        <v>228</v>
      </c>
      <c r="P54" t="s">
        <v>228</v>
      </c>
      <c r="Q54">
        <v>1</v>
      </c>
      <c r="Y54">
        <v>38.3</v>
      </c>
      <c r="AA54">
        <v>0</v>
      </c>
      <c r="AB54">
        <v>0</v>
      </c>
      <c r="AC54">
        <v>0</v>
      </c>
      <c r="AD54">
        <v>9.62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38.3</v>
      </c>
      <c r="AV54">
        <v>1</v>
      </c>
      <c r="AW54">
        <v>2</v>
      </c>
      <c r="AX54">
        <v>27551528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ROW(Source!A85)</f>
        <v>85</v>
      </c>
      <c r="B55">
        <v>27551529</v>
      </c>
      <c r="C55">
        <v>27551486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28</v>
      </c>
      <c r="K55" t="s">
        <v>229</v>
      </c>
      <c r="L55">
        <v>608254</v>
      </c>
      <c r="N55">
        <v>1013</v>
      </c>
      <c r="O55" t="s">
        <v>230</v>
      </c>
      <c r="P55" t="s">
        <v>230</v>
      </c>
      <c r="Q55">
        <v>1</v>
      </c>
      <c r="Y55">
        <v>19.08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19.08</v>
      </c>
      <c r="AV55">
        <v>2</v>
      </c>
      <c r="AW55">
        <v>2</v>
      </c>
      <c r="AX55">
        <v>27551529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ROW(Source!A85)</f>
        <v>85</v>
      </c>
      <c r="B56">
        <v>27551530</v>
      </c>
      <c r="C56">
        <v>27551486</v>
      </c>
      <c r="D56">
        <v>24450839</v>
      </c>
      <c r="E56">
        <v>1</v>
      </c>
      <c r="F56">
        <v>1</v>
      </c>
      <c r="G56">
        <v>1</v>
      </c>
      <c r="H56">
        <v>2</v>
      </c>
      <c r="I56" t="s">
        <v>233</v>
      </c>
      <c r="J56" t="s">
        <v>234</v>
      </c>
      <c r="K56" t="s">
        <v>235</v>
      </c>
      <c r="L56">
        <v>1368</v>
      </c>
      <c r="N56">
        <v>1011</v>
      </c>
      <c r="O56" t="s">
        <v>236</v>
      </c>
      <c r="P56" t="s">
        <v>236</v>
      </c>
      <c r="Q56">
        <v>1</v>
      </c>
      <c r="Y56">
        <v>0.03</v>
      </c>
      <c r="AA56">
        <v>0</v>
      </c>
      <c r="AB56">
        <v>112</v>
      </c>
      <c r="AC56">
        <v>13.5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0.03</v>
      </c>
      <c r="AV56">
        <v>0</v>
      </c>
      <c r="AW56">
        <v>2</v>
      </c>
      <c r="AX56">
        <v>27551530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ROW(Source!A85)</f>
        <v>85</v>
      </c>
      <c r="B57">
        <v>27551531</v>
      </c>
      <c r="C57">
        <v>27551486</v>
      </c>
      <c r="D57">
        <v>24451446</v>
      </c>
      <c r="E57">
        <v>1</v>
      </c>
      <c r="F57">
        <v>1</v>
      </c>
      <c r="G57">
        <v>1</v>
      </c>
      <c r="H57">
        <v>2</v>
      </c>
      <c r="I57" t="s">
        <v>284</v>
      </c>
      <c r="J57" t="s">
        <v>285</v>
      </c>
      <c r="K57" t="s">
        <v>286</v>
      </c>
      <c r="L57">
        <v>1368</v>
      </c>
      <c r="N57">
        <v>1011</v>
      </c>
      <c r="O57" t="s">
        <v>236</v>
      </c>
      <c r="P57" t="s">
        <v>236</v>
      </c>
      <c r="Q57">
        <v>1</v>
      </c>
      <c r="Y57">
        <v>1.4</v>
      </c>
      <c r="AA57">
        <v>0</v>
      </c>
      <c r="AB57">
        <v>17.2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1.4</v>
      </c>
      <c r="AV57">
        <v>0</v>
      </c>
      <c r="AW57">
        <v>2</v>
      </c>
      <c r="AX57">
        <v>27551531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ROW(Source!A85)</f>
        <v>85</v>
      </c>
      <c r="B58">
        <v>27551532</v>
      </c>
      <c r="C58">
        <v>27551486</v>
      </c>
      <c r="D58">
        <v>24451465</v>
      </c>
      <c r="E58">
        <v>1</v>
      </c>
      <c r="F58">
        <v>1</v>
      </c>
      <c r="G58">
        <v>1</v>
      </c>
      <c r="H58">
        <v>2</v>
      </c>
      <c r="I58" t="s">
        <v>287</v>
      </c>
      <c r="J58" t="s">
        <v>288</v>
      </c>
      <c r="K58" t="s">
        <v>289</v>
      </c>
      <c r="L58">
        <v>1368</v>
      </c>
      <c r="N58">
        <v>1011</v>
      </c>
      <c r="O58" t="s">
        <v>236</v>
      </c>
      <c r="P58" t="s">
        <v>236</v>
      </c>
      <c r="Q58">
        <v>1</v>
      </c>
      <c r="Y58">
        <v>3.96</v>
      </c>
      <c r="AA58">
        <v>0</v>
      </c>
      <c r="AB58">
        <v>75</v>
      </c>
      <c r="AC58">
        <v>11.6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3.96</v>
      </c>
      <c r="AV58">
        <v>0</v>
      </c>
      <c r="AW58">
        <v>2</v>
      </c>
      <c r="AX58">
        <v>27551532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ROW(Source!A85)</f>
        <v>85</v>
      </c>
      <c r="B59">
        <v>27551533</v>
      </c>
      <c r="C59">
        <v>27551486</v>
      </c>
      <c r="D59">
        <v>24451466</v>
      </c>
      <c r="E59">
        <v>1</v>
      </c>
      <c r="F59">
        <v>1</v>
      </c>
      <c r="G59">
        <v>1</v>
      </c>
      <c r="H59">
        <v>2</v>
      </c>
      <c r="I59" t="s">
        <v>290</v>
      </c>
      <c r="J59" t="s">
        <v>291</v>
      </c>
      <c r="K59" t="s">
        <v>292</v>
      </c>
      <c r="L59">
        <v>1368</v>
      </c>
      <c r="N59">
        <v>1011</v>
      </c>
      <c r="O59" t="s">
        <v>236</v>
      </c>
      <c r="P59" t="s">
        <v>236</v>
      </c>
      <c r="Q59">
        <v>1</v>
      </c>
      <c r="Y59">
        <v>11.51</v>
      </c>
      <c r="AA59">
        <v>0</v>
      </c>
      <c r="AB59">
        <v>121</v>
      </c>
      <c r="AC59">
        <v>14.4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11.51</v>
      </c>
      <c r="AV59">
        <v>0</v>
      </c>
      <c r="AW59">
        <v>2</v>
      </c>
      <c r="AX59">
        <v>27551533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ROW(Source!A85)</f>
        <v>85</v>
      </c>
      <c r="B60">
        <v>27551534</v>
      </c>
      <c r="C60">
        <v>27551486</v>
      </c>
      <c r="D60">
        <v>24451524</v>
      </c>
      <c r="E60">
        <v>1</v>
      </c>
      <c r="F60">
        <v>1</v>
      </c>
      <c r="G60">
        <v>1</v>
      </c>
      <c r="H60">
        <v>2</v>
      </c>
      <c r="I60" t="s">
        <v>272</v>
      </c>
      <c r="J60" t="s">
        <v>273</v>
      </c>
      <c r="K60" t="s">
        <v>274</v>
      </c>
      <c r="L60">
        <v>1368</v>
      </c>
      <c r="N60">
        <v>1011</v>
      </c>
      <c r="O60" t="s">
        <v>236</v>
      </c>
      <c r="P60" t="s">
        <v>236</v>
      </c>
      <c r="Q60">
        <v>1</v>
      </c>
      <c r="Y60">
        <v>0.39</v>
      </c>
      <c r="AA60">
        <v>0</v>
      </c>
      <c r="AB60">
        <v>110</v>
      </c>
      <c r="AC60">
        <v>11.6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0.39</v>
      </c>
      <c r="AV60">
        <v>0</v>
      </c>
      <c r="AW60">
        <v>2</v>
      </c>
      <c r="AX60">
        <v>27551534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ROW(Source!A85)</f>
        <v>85</v>
      </c>
      <c r="B61">
        <v>27551535</v>
      </c>
      <c r="C61">
        <v>27551486</v>
      </c>
      <c r="D61">
        <v>24451546</v>
      </c>
      <c r="E61">
        <v>1</v>
      </c>
      <c r="F61">
        <v>1</v>
      </c>
      <c r="G61">
        <v>1</v>
      </c>
      <c r="H61">
        <v>2</v>
      </c>
      <c r="I61" t="s">
        <v>293</v>
      </c>
      <c r="J61" t="s">
        <v>294</v>
      </c>
      <c r="K61" t="s">
        <v>295</v>
      </c>
      <c r="L61">
        <v>1368</v>
      </c>
      <c r="N61">
        <v>1011</v>
      </c>
      <c r="O61" t="s">
        <v>236</v>
      </c>
      <c r="P61" t="s">
        <v>236</v>
      </c>
      <c r="Q61">
        <v>1</v>
      </c>
      <c r="Y61">
        <v>3.19</v>
      </c>
      <c r="AA61">
        <v>0</v>
      </c>
      <c r="AB61">
        <v>195.2</v>
      </c>
      <c r="AC61">
        <v>14.4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3.19</v>
      </c>
      <c r="AV61">
        <v>0</v>
      </c>
      <c r="AW61">
        <v>2</v>
      </c>
      <c r="AX61">
        <v>27551535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ROW(Source!A85)</f>
        <v>85</v>
      </c>
      <c r="B62">
        <v>27551536</v>
      </c>
      <c r="C62">
        <v>27551486</v>
      </c>
      <c r="D62">
        <v>24452575</v>
      </c>
      <c r="E62">
        <v>1</v>
      </c>
      <c r="F62">
        <v>1</v>
      </c>
      <c r="G62">
        <v>1</v>
      </c>
      <c r="H62">
        <v>2</v>
      </c>
      <c r="I62" t="s">
        <v>237</v>
      </c>
      <c r="J62" t="s">
        <v>238</v>
      </c>
      <c r="K62" t="s">
        <v>239</v>
      </c>
      <c r="L62">
        <v>1368</v>
      </c>
      <c r="N62">
        <v>1011</v>
      </c>
      <c r="O62" t="s">
        <v>236</v>
      </c>
      <c r="P62" t="s">
        <v>236</v>
      </c>
      <c r="Q62">
        <v>1</v>
      </c>
      <c r="Y62">
        <v>0.04</v>
      </c>
      <c r="AA62">
        <v>0</v>
      </c>
      <c r="AB62">
        <v>87.17</v>
      </c>
      <c r="AC62">
        <v>11.6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0.04</v>
      </c>
      <c r="AV62">
        <v>0</v>
      </c>
      <c r="AW62">
        <v>2</v>
      </c>
      <c r="AX62">
        <v>27551536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ROW(Source!A85)</f>
        <v>85</v>
      </c>
      <c r="B63">
        <v>27551537</v>
      </c>
      <c r="C63">
        <v>27551486</v>
      </c>
      <c r="D63">
        <v>24453737</v>
      </c>
      <c r="E63">
        <v>1</v>
      </c>
      <c r="F63">
        <v>1</v>
      </c>
      <c r="G63">
        <v>1</v>
      </c>
      <c r="H63">
        <v>3</v>
      </c>
      <c r="I63" t="s">
        <v>296</v>
      </c>
      <c r="J63" t="s">
        <v>297</v>
      </c>
      <c r="K63" t="s">
        <v>298</v>
      </c>
      <c r="L63">
        <v>1348</v>
      </c>
      <c r="N63">
        <v>1009</v>
      </c>
      <c r="O63" t="s">
        <v>87</v>
      </c>
      <c r="P63" t="s">
        <v>87</v>
      </c>
      <c r="Q63">
        <v>1000</v>
      </c>
      <c r="Y63">
        <v>0.0062</v>
      </c>
      <c r="AA63">
        <v>5989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0.0062</v>
      </c>
      <c r="AV63">
        <v>0</v>
      </c>
      <c r="AW63">
        <v>2</v>
      </c>
      <c r="AX63">
        <v>27551537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ROW(Source!A85)</f>
        <v>85</v>
      </c>
      <c r="B64">
        <v>27551538</v>
      </c>
      <c r="C64">
        <v>27551486</v>
      </c>
      <c r="D64">
        <v>24454303</v>
      </c>
      <c r="E64">
        <v>1</v>
      </c>
      <c r="F64">
        <v>1</v>
      </c>
      <c r="G64">
        <v>1</v>
      </c>
      <c r="H64">
        <v>3</v>
      </c>
      <c r="I64" t="s">
        <v>299</v>
      </c>
      <c r="J64" t="s">
        <v>300</v>
      </c>
      <c r="K64" t="s">
        <v>301</v>
      </c>
      <c r="L64">
        <v>1348</v>
      </c>
      <c r="N64">
        <v>1009</v>
      </c>
      <c r="O64" t="s">
        <v>87</v>
      </c>
      <c r="P64" t="s">
        <v>87</v>
      </c>
      <c r="Q64">
        <v>1000</v>
      </c>
      <c r="Y64">
        <v>0.0108</v>
      </c>
      <c r="AA64">
        <v>1690.01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0.0108</v>
      </c>
      <c r="AV64">
        <v>0</v>
      </c>
      <c r="AW64">
        <v>2</v>
      </c>
      <c r="AX64">
        <v>27551538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ROW(Source!A85)</f>
        <v>85</v>
      </c>
      <c r="B65">
        <v>27551539</v>
      </c>
      <c r="C65">
        <v>27551486</v>
      </c>
      <c r="D65">
        <v>24456400</v>
      </c>
      <c r="E65">
        <v>1</v>
      </c>
      <c r="F65">
        <v>1</v>
      </c>
      <c r="G65">
        <v>1</v>
      </c>
      <c r="H65">
        <v>3</v>
      </c>
      <c r="I65" t="s">
        <v>302</v>
      </c>
      <c r="J65" t="s">
        <v>303</v>
      </c>
      <c r="K65" t="s">
        <v>304</v>
      </c>
      <c r="L65">
        <v>1339</v>
      </c>
      <c r="N65">
        <v>1007</v>
      </c>
      <c r="O65" t="s">
        <v>99</v>
      </c>
      <c r="P65" t="s">
        <v>99</v>
      </c>
      <c r="Q65">
        <v>1</v>
      </c>
      <c r="Y65">
        <v>0.15</v>
      </c>
      <c r="AA65">
        <v>1287.01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0.15</v>
      </c>
      <c r="AV65">
        <v>0</v>
      </c>
      <c r="AW65">
        <v>2</v>
      </c>
      <c r="AX65">
        <v>27551539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ROW(Source!A85)</f>
        <v>85</v>
      </c>
      <c r="B66">
        <v>27551540</v>
      </c>
      <c r="C66">
        <v>27551486</v>
      </c>
      <c r="D66">
        <v>24472221</v>
      </c>
      <c r="E66">
        <v>1</v>
      </c>
      <c r="F66">
        <v>1</v>
      </c>
      <c r="G66">
        <v>1</v>
      </c>
      <c r="H66">
        <v>3</v>
      </c>
      <c r="I66" t="s">
        <v>305</v>
      </c>
      <c r="J66" t="s">
        <v>306</v>
      </c>
      <c r="K66" t="s">
        <v>307</v>
      </c>
      <c r="L66">
        <v>1348</v>
      </c>
      <c r="N66">
        <v>1009</v>
      </c>
      <c r="O66" t="s">
        <v>87</v>
      </c>
      <c r="P66" t="s">
        <v>87</v>
      </c>
      <c r="Q66">
        <v>1000</v>
      </c>
      <c r="Y66">
        <v>96.6</v>
      </c>
      <c r="AA66">
        <v>535.5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96.6</v>
      </c>
      <c r="AV66">
        <v>0</v>
      </c>
      <c r="AW66">
        <v>2</v>
      </c>
      <c r="AX66">
        <v>27551540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ROW(Source!A86)</f>
        <v>86</v>
      </c>
      <c r="B67">
        <v>27551541</v>
      </c>
      <c r="C67">
        <v>27551516</v>
      </c>
      <c r="D67">
        <v>24506163</v>
      </c>
      <c r="E67">
        <v>1</v>
      </c>
      <c r="F67">
        <v>1</v>
      </c>
      <c r="G67">
        <v>1</v>
      </c>
      <c r="H67">
        <v>1</v>
      </c>
      <c r="I67" t="s">
        <v>282</v>
      </c>
      <c r="K67" t="s">
        <v>283</v>
      </c>
      <c r="L67">
        <v>1369</v>
      </c>
      <c r="N67">
        <v>1013</v>
      </c>
      <c r="O67" t="s">
        <v>228</v>
      </c>
      <c r="P67" t="s">
        <v>228</v>
      </c>
      <c r="Q67">
        <v>1</v>
      </c>
      <c r="Y67">
        <v>0.18</v>
      </c>
      <c r="AA67">
        <v>0</v>
      </c>
      <c r="AB67">
        <v>0</v>
      </c>
      <c r="AC67">
        <v>0</v>
      </c>
      <c r="AD67">
        <v>9.62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0.09</v>
      </c>
      <c r="AU67" t="s">
        <v>122</v>
      </c>
      <c r="AV67">
        <v>1</v>
      </c>
      <c r="AW67">
        <v>2</v>
      </c>
      <c r="AX67">
        <v>27551541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ROW(Source!A86)</f>
        <v>86</v>
      </c>
      <c r="B68">
        <v>27551542</v>
      </c>
      <c r="C68">
        <v>27551516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28</v>
      </c>
      <c r="K68" t="s">
        <v>229</v>
      </c>
      <c r="L68">
        <v>608254</v>
      </c>
      <c r="N68">
        <v>1013</v>
      </c>
      <c r="O68" t="s">
        <v>230</v>
      </c>
      <c r="P68" t="s">
        <v>230</v>
      </c>
      <c r="Q68">
        <v>1</v>
      </c>
      <c r="Y68">
        <v>0</v>
      </c>
      <c r="AA68">
        <v>0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</v>
      </c>
      <c r="AU68" t="s">
        <v>122</v>
      </c>
      <c r="AV68">
        <v>2</v>
      </c>
      <c r="AW68">
        <v>2</v>
      </c>
      <c r="AX68">
        <v>27551542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ROW(Source!A86)</f>
        <v>86</v>
      </c>
      <c r="B69">
        <v>27551543</v>
      </c>
      <c r="C69">
        <v>27551516</v>
      </c>
      <c r="D69">
        <v>24451446</v>
      </c>
      <c r="E69">
        <v>1</v>
      </c>
      <c r="F69">
        <v>1</v>
      </c>
      <c r="G69">
        <v>1</v>
      </c>
      <c r="H69">
        <v>2</v>
      </c>
      <c r="I69" t="s">
        <v>284</v>
      </c>
      <c r="J69" t="s">
        <v>285</v>
      </c>
      <c r="K69" t="s">
        <v>286</v>
      </c>
      <c r="L69">
        <v>1368</v>
      </c>
      <c r="N69">
        <v>1011</v>
      </c>
      <c r="O69" t="s">
        <v>236</v>
      </c>
      <c r="P69" t="s">
        <v>236</v>
      </c>
      <c r="Q69">
        <v>1</v>
      </c>
      <c r="Y69">
        <v>0.36</v>
      </c>
      <c r="AA69">
        <v>0</v>
      </c>
      <c r="AB69">
        <v>17.2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0.18</v>
      </c>
      <c r="AU69" t="s">
        <v>122</v>
      </c>
      <c r="AV69">
        <v>0</v>
      </c>
      <c r="AW69">
        <v>2</v>
      </c>
      <c r="AX69">
        <v>27551543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ROW(Source!A86)</f>
        <v>86</v>
      </c>
      <c r="B70">
        <v>27551544</v>
      </c>
      <c r="C70">
        <v>27551516</v>
      </c>
      <c r="D70">
        <v>24454303</v>
      </c>
      <c r="E70">
        <v>1</v>
      </c>
      <c r="F70">
        <v>1</v>
      </c>
      <c r="G70">
        <v>1</v>
      </c>
      <c r="H70">
        <v>3</v>
      </c>
      <c r="I70" t="s">
        <v>299</v>
      </c>
      <c r="J70" t="s">
        <v>300</v>
      </c>
      <c r="K70" t="s">
        <v>301</v>
      </c>
      <c r="L70">
        <v>1348</v>
      </c>
      <c r="N70">
        <v>1009</v>
      </c>
      <c r="O70" t="s">
        <v>87</v>
      </c>
      <c r="P70" t="s">
        <v>87</v>
      </c>
      <c r="Q70">
        <v>1000</v>
      </c>
      <c r="Y70">
        <v>0.0014</v>
      </c>
      <c r="AA70">
        <v>1690.01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0.0014</v>
      </c>
      <c r="AV70">
        <v>0</v>
      </c>
      <c r="AW70">
        <v>2</v>
      </c>
      <c r="AX70">
        <v>27551544</v>
      </c>
      <c r="AY70">
        <v>2</v>
      </c>
      <c r="AZ70">
        <v>4096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ROW(Source!A86)</f>
        <v>86</v>
      </c>
      <c r="B71">
        <v>27551545</v>
      </c>
      <c r="C71">
        <v>27551516</v>
      </c>
      <c r="D71">
        <v>24472221</v>
      </c>
      <c r="E71">
        <v>1</v>
      </c>
      <c r="F71">
        <v>1</v>
      </c>
      <c r="G71">
        <v>1</v>
      </c>
      <c r="H71">
        <v>3</v>
      </c>
      <c r="I71" t="s">
        <v>305</v>
      </c>
      <c r="J71" t="s">
        <v>306</v>
      </c>
      <c r="K71" t="s">
        <v>307</v>
      </c>
      <c r="L71">
        <v>1348</v>
      </c>
      <c r="N71">
        <v>1009</v>
      </c>
      <c r="O71" t="s">
        <v>87</v>
      </c>
      <c r="P71" t="s">
        <v>87</v>
      </c>
      <c r="Q71">
        <v>1000</v>
      </c>
      <c r="Y71">
        <v>12.1</v>
      </c>
      <c r="AA71">
        <v>535.5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12.1</v>
      </c>
      <c r="AV71">
        <v>0</v>
      </c>
      <c r="AW71">
        <v>2</v>
      </c>
      <c r="AX71">
        <v>27551545</v>
      </c>
      <c r="AY71">
        <v>2</v>
      </c>
      <c r="AZ71">
        <v>4096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ROW(Source!A108)</f>
        <v>108</v>
      </c>
      <c r="B72">
        <v>27553678</v>
      </c>
      <c r="C72">
        <v>27553677</v>
      </c>
      <c r="D72">
        <v>24505038</v>
      </c>
      <c r="E72">
        <v>1</v>
      </c>
      <c r="F72">
        <v>1</v>
      </c>
      <c r="G72">
        <v>1</v>
      </c>
      <c r="H72">
        <v>1</v>
      </c>
      <c r="I72" t="s">
        <v>278</v>
      </c>
      <c r="K72" t="s">
        <v>279</v>
      </c>
      <c r="L72">
        <v>1369</v>
      </c>
      <c r="N72">
        <v>1013</v>
      </c>
      <c r="O72" t="s">
        <v>228</v>
      </c>
      <c r="P72" t="s">
        <v>228</v>
      </c>
      <c r="Q72">
        <v>1</v>
      </c>
      <c r="Y72">
        <v>24.19</v>
      </c>
      <c r="AA72">
        <v>0</v>
      </c>
      <c r="AB72">
        <v>0</v>
      </c>
      <c r="AC72">
        <v>0</v>
      </c>
      <c r="AD72">
        <v>8.09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24.19</v>
      </c>
      <c r="AV72">
        <v>1</v>
      </c>
      <c r="AW72">
        <v>2</v>
      </c>
      <c r="AX72">
        <v>27553686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ROW(Source!A108)</f>
        <v>108</v>
      </c>
      <c r="B73">
        <v>27553679</v>
      </c>
      <c r="C73">
        <v>27553677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28</v>
      </c>
      <c r="K73" t="s">
        <v>229</v>
      </c>
      <c r="L73">
        <v>608254</v>
      </c>
      <c r="N73">
        <v>1013</v>
      </c>
      <c r="O73" t="s">
        <v>230</v>
      </c>
      <c r="P73" t="s">
        <v>230</v>
      </c>
      <c r="Q73">
        <v>1</v>
      </c>
      <c r="Y73">
        <v>20.6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20.6</v>
      </c>
      <c r="AV73">
        <v>2</v>
      </c>
      <c r="AW73">
        <v>2</v>
      </c>
      <c r="AX73">
        <v>27553687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ROW(Source!A108)</f>
        <v>108</v>
      </c>
      <c r="B74">
        <v>27553680</v>
      </c>
      <c r="C74">
        <v>27553677</v>
      </c>
      <c r="D74">
        <v>24450908</v>
      </c>
      <c r="E74">
        <v>1</v>
      </c>
      <c r="F74">
        <v>1</v>
      </c>
      <c r="G74">
        <v>1</v>
      </c>
      <c r="H74">
        <v>2</v>
      </c>
      <c r="I74" t="s">
        <v>263</v>
      </c>
      <c r="J74" t="s">
        <v>264</v>
      </c>
      <c r="K74" t="s">
        <v>265</v>
      </c>
      <c r="L74">
        <v>1368</v>
      </c>
      <c r="N74">
        <v>1011</v>
      </c>
      <c r="O74" t="s">
        <v>236</v>
      </c>
      <c r="P74" t="s">
        <v>236</v>
      </c>
      <c r="Q74">
        <v>1</v>
      </c>
      <c r="Y74">
        <v>2.46</v>
      </c>
      <c r="AA74">
        <v>0</v>
      </c>
      <c r="AB74">
        <v>99.89</v>
      </c>
      <c r="AC74">
        <v>10.06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2.46</v>
      </c>
      <c r="AV74">
        <v>0</v>
      </c>
      <c r="AW74">
        <v>2</v>
      </c>
      <c r="AX74">
        <v>27553688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ROW(Source!A108)</f>
        <v>108</v>
      </c>
      <c r="B75">
        <v>27553681</v>
      </c>
      <c r="C75">
        <v>27553677</v>
      </c>
      <c r="D75">
        <v>24451199</v>
      </c>
      <c r="E75">
        <v>1</v>
      </c>
      <c r="F75">
        <v>1</v>
      </c>
      <c r="G75">
        <v>1</v>
      </c>
      <c r="H75">
        <v>2</v>
      </c>
      <c r="I75" t="s">
        <v>257</v>
      </c>
      <c r="J75" t="s">
        <v>280</v>
      </c>
      <c r="K75" t="s">
        <v>281</v>
      </c>
      <c r="L75">
        <v>1368</v>
      </c>
      <c r="N75">
        <v>1011</v>
      </c>
      <c r="O75" t="s">
        <v>236</v>
      </c>
      <c r="P75" t="s">
        <v>236</v>
      </c>
      <c r="Q75">
        <v>1</v>
      </c>
      <c r="Y75">
        <v>2.59</v>
      </c>
      <c r="AA75">
        <v>0</v>
      </c>
      <c r="AB75">
        <v>80.01</v>
      </c>
      <c r="AC75">
        <v>14.4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2.59</v>
      </c>
      <c r="AV75">
        <v>0</v>
      </c>
      <c r="AW75">
        <v>2</v>
      </c>
      <c r="AX75">
        <v>27553689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ROW(Source!A108)</f>
        <v>108</v>
      </c>
      <c r="B76">
        <v>27553682</v>
      </c>
      <c r="C76">
        <v>27553677</v>
      </c>
      <c r="D76">
        <v>24451440</v>
      </c>
      <c r="E76">
        <v>1</v>
      </c>
      <c r="F76">
        <v>1</v>
      </c>
      <c r="G76">
        <v>1</v>
      </c>
      <c r="H76">
        <v>2</v>
      </c>
      <c r="I76" t="s">
        <v>266</v>
      </c>
      <c r="J76" t="s">
        <v>267</v>
      </c>
      <c r="K76" t="s">
        <v>268</v>
      </c>
      <c r="L76">
        <v>1368</v>
      </c>
      <c r="N76">
        <v>1011</v>
      </c>
      <c r="O76" t="s">
        <v>236</v>
      </c>
      <c r="P76" t="s">
        <v>236</v>
      </c>
      <c r="Q76">
        <v>1</v>
      </c>
      <c r="Y76">
        <v>2.3</v>
      </c>
      <c r="AA76">
        <v>0</v>
      </c>
      <c r="AB76">
        <v>123</v>
      </c>
      <c r="AC76">
        <v>13.5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2.3</v>
      </c>
      <c r="AV76">
        <v>0</v>
      </c>
      <c r="AW76">
        <v>2</v>
      </c>
      <c r="AX76">
        <v>27553690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ROW(Source!A108)</f>
        <v>108</v>
      </c>
      <c r="B77">
        <v>27553683</v>
      </c>
      <c r="C77">
        <v>27553677</v>
      </c>
      <c r="D77">
        <v>24451470</v>
      </c>
      <c r="E77">
        <v>1</v>
      </c>
      <c r="F77">
        <v>1</v>
      </c>
      <c r="G77">
        <v>1</v>
      </c>
      <c r="H77">
        <v>2</v>
      </c>
      <c r="I77" t="s">
        <v>269</v>
      </c>
      <c r="J77" t="s">
        <v>270</v>
      </c>
      <c r="K77" t="s">
        <v>271</v>
      </c>
      <c r="L77">
        <v>1368</v>
      </c>
      <c r="N77">
        <v>1011</v>
      </c>
      <c r="O77" t="s">
        <v>236</v>
      </c>
      <c r="P77" t="s">
        <v>236</v>
      </c>
      <c r="Q77">
        <v>1</v>
      </c>
      <c r="Y77">
        <v>12.21</v>
      </c>
      <c r="AA77">
        <v>0</v>
      </c>
      <c r="AB77">
        <v>206.01</v>
      </c>
      <c r="AC77">
        <v>14.4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12.21</v>
      </c>
      <c r="AV77">
        <v>0</v>
      </c>
      <c r="AW77">
        <v>2</v>
      </c>
      <c r="AX77">
        <v>27553691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ROW(Source!A108)</f>
        <v>108</v>
      </c>
      <c r="B78">
        <v>27553684</v>
      </c>
      <c r="C78">
        <v>27553677</v>
      </c>
      <c r="D78">
        <v>24451524</v>
      </c>
      <c r="E78">
        <v>1</v>
      </c>
      <c r="F78">
        <v>1</v>
      </c>
      <c r="G78">
        <v>1</v>
      </c>
      <c r="H78">
        <v>2</v>
      </c>
      <c r="I78" t="s">
        <v>272</v>
      </c>
      <c r="J78" t="s">
        <v>273</v>
      </c>
      <c r="K78" t="s">
        <v>274</v>
      </c>
      <c r="L78">
        <v>1368</v>
      </c>
      <c r="N78">
        <v>1011</v>
      </c>
      <c r="O78" t="s">
        <v>236</v>
      </c>
      <c r="P78" t="s">
        <v>236</v>
      </c>
      <c r="Q78">
        <v>1</v>
      </c>
      <c r="Y78">
        <v>1.04</v>
      </c>
      <c r="AA78">
        <v>0</v>
      </c>
      <c r="AB78">
        <v>110</v>
      </c>
      <c r="AC78">
        <v>11.6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1.04</v>
      </c>
      <c r="AV78">
        <v>0</v>
      </c>
      <c r="AW78">
        <v>2</v>
      </c>
      <c r="AX78">
        <v>27553692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ROW(Source!A108)</f>
        <v>108</v>
      </c>
      <c r="B79">
        <v>27553696</v>
      </c>
      <c r="C79">
        <v>27553677</v>
      </c>
      <c r="D79">
        <v>24472140</v>
      </c>
      <c r="E79">
        <v>1</v>
      </c>
      <c r="F79">
        <v>1</v>
      </c>
      <c r="G79">
        <v>1</v>
      </c>
      <c r="H79">
        <v>3</v>
      </c>
      <c r="I79" t="s">
        <v>106</v>
      </c>
      <c r="J79" t="s">
        <v>108</v>
      </c>
      <c r="K79" t="s">
        <v>107</v>
      </c>
      <c r="L79">
        <v>1339</v>
      </c>
      <c r="N79">
        <v>1007</v>
      </c>
      <c r="O79" t="s">
        <v>99</v>
      </c>
      <c r="P79" t="s">
        <v>99</v>
      </c>
      <c r="Q79">
        <v>1</v>
      </c>
      <c r="Y79">
        <v>125</v>
      </c>
      <c r="AA79">
        <v>98.6</v>
      </c>
      <c r="AB79">
        <v>0</v>
      </c>
      <c r="AC79">
        <v>0</v>
      </c>
      <c r="AD79">
        <v>0</v>
      </c>
      <c r="AN79">
        <v>1</v>
      </c>
      <c r="AO79">
        <v>0</v>
      </c>
      <c r="AP79">
        <v>0</v>
      </c>
      <c r="AQ79">
        <v>0</v>
      </c>
      <c r="AR79">
        <v>0</v>
      </c>
      <c r="AT79">
        <v>125</v>
      </c>
      <c r="AV79">
        <v>0</v>
      </c>
      <c r="AW79">
        <v>1</v>
      </c>
      <c r="AX79">
        <v>-1</v>
      </c>
      <c r="AY79">
        <v>0</v>
      </c>
      <c r="AZ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ROW(Source!A108)</f>
        <v>108</v>
      </c>
      <c r="B80">
        <v>27553685</v>
      </c>
      <c r="C80">
        <v>27553677</v>
      </c>
      <c r="D80">
        <v>24472293</v>
      </c>
      <c r="E80">
        <v>1</v>
      </c>
      <c r="F80">
        <v>1</v>
      </c>
      <c r="G80">
        <v>1</v>
      </c>
      <c r="H80">
        <v>3</v>
      </c>
      <c r="I80" t="s">
        <v>275</v>
      </c>
      <c r="J80" t="s">
        <v>276</v>
      </c>
      <c r="K80" t="s">
        <v>277</v>
      </c>
      <c r="L80">
        <v>1339</v>
      </c>
      <c r="N80">
        <v>1007</v>
      </c>
      <c r="O80" t="s">
        <v>99</v>
      </c>
      <c r="P80" t="s">
        <v>99</v>
      </c>
      <c r="Q80">
        <v>1</v>
      </c>
      <c r="Y80">
        <v>7</v>
      </c>
      <c r="AA80">
        <v>2.44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7</v>
      </c>
      <c r="AV80">
        <v>0</v>
      </c>
      <c r="AW80">
        <v>2</v>
      </c>
      <c r="AX80">
        <v>27553694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ROW(Source!A110)</f>
        <v>110</v>
      </c>
      <c r="B81">
        <v>27553698</v>
      </c>
      <c r="C81">
        <v>27553697</v>
      </c>
      <c r="D81">
        <v>24506163</v>
      </c>
      <c r="E81">
        <v>1</v>
      </c>
      <c r="F81">
        <v>1</v>
      </c>
      <c r="G81">
        <v>1</v>
      </c>
      <c r="H81">
        <v>1</v>
      </c>
      <c r="I81" t="s">
        <v>282</v>
      </c>
      <c r="K81" t="s">
        <v>283</v>
      </c>
      <c r="L81">
        <v>1369</v>
      </c>
      <c r="N81">
        <v>1013</v>
      </c>
      <c r="O81" t="s">
        <v>228</v>
      </c>
      <c r="P81" t="s">
        <v>228</v>
      </c>
      <c r="Q81">
        <v>1</v>
      </c>
      <c r="Y81">
        <v>38.3</v>
      </c>
      <c r="AA81">
        <v>0</v>
      </c>
      <c r="AB81">
        <v>0</v>
      </c>
      <c r="AC81">
        <v>0</v>
      </c>
      <c r="AD81">
        <v>9.62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38.3</v>
      </c>
      <c r="AV81">
        <v>1</v>
      </c>
      <c r="AW81">
        <v>2</v>
      </c>
      <c r="AX81">
        <v>27553711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ROW(Source!A110)</f>
        <v>110</v>
      </c>
      <c r="B82">
        <v>27553699</v>
      </c>
      <c r="C82">
        <v>27553697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28</v>
      </c>
      <c r="K82" t="s">
        <v>229</v>
      </c>
      <c r="L82">
        <v>608254</v>
      </c>
      <c r="N82">
        <v>1013</v>
      </c>
      <c r="O82" t="s">
        <v>230</v>
      </c>
      <c r="P82" t="s">
        <v>230</v>
      </c>
      <c r="Q82">
        <v>1</v>
      </c>
      <c r="Y82">
        <v>19.08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19.08</v>
      </c>
      <c r="AV82">
        <v>2</v>
      </c>
      <c r="AW82">
        <v>2</v>
      </c>
      <c r="AX82">
        <v>27553712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ROW(Source!A110)</f>
        <v>110</v>
      </c>
      <c r="B83">
        <v>27553700</v>
      </c>
      <c r="C83">
        <v>27553697</v>
      </c>
      <c r="D83">
        <v>24450839</v>
      </c>
      <c r="E83">
        <v>1</v>
      </c>
      <c r="F83">
        <v>1</v>
      </c>
      <c r="G83">
        <v>1</v>
      </c>
      <c r="H83">
        <v>2</v>
      </c>
      <c r="I83" t="s">
        <v>233</v>
      </c>
      <c r="J83" t="s">
        <v>234</v>
      </c>
      <c r="K83" t="s">
        <v>235</v>
      </c>
      <c r="L83">
        <v>1368</v>
      </c>
      <c r="N83">
        <v>1011</v>
      </c>
      <c r="O83" t="s">
        <v>236</v>
      </c>
      <c r="P83" t="s">
        <v>236</v>
      </c>
      <c r="Q83">
        <v>1</v>
      </c>
      <c r="Y83">
        <v>0.03</v>
      </c>
      <c r="AA83">
        <v>0</v>
      </c>
      <c r="AB83">
        <v>112</v>
      </c>
      <c r="AC83">
        <v>13.5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0.03</v>
      </c>
      <c r="AV83">
        <v>0</v>
      </c>
      <c r="AW83">
        <v>2</v>
      </c>
      <c r="AX83">
        <v>27553713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ROW(Source!A110)</f>
        <v>110</v>
      </c>
      <c r="B84">
        <v>27553701</v>
      </c>
      <c r="C84">
        <v>27553697</v>
      </c>
      <c r="D84">
        <v>24451446</v>
      </c>
      <c r="E84">
        <v>1</v>
      </c>
      <c r="F84">
        <v>1</v>
      </c>
      <c r="G84">
        <v>1</v>
      </c>
      <c r="H84">
        <v>2</v>
      </c>
      <c r="I84" t="s">
        <v>284</v>
      </c>
      <c r="J84" t="s">
        <v>285</v>
      </c>
      <c r="K84" t="s">
        <v>286</v>
      </c>
      <c r="L84">
        <v>1368</v>
      </c>
      <c r="N84">
        <v>1011</v>
      </c>
      <c r="O84" t="s">
        <v>236</v>
      </c>
      <c r="P84" t="s">
        <v>236</v>
      </c>
      <c r="Q84">
        <v>1</v>
      </c>
      <c r="Y84">
        <v>1.4</v>
      </c>
      <c r="AA84">
        <v>0</v>
      </c>
      <c r="AB84">
        <v>17.2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1.4</v>
      </c>
      <c r="AV84">
        <v>0</v>
      </c>
      <c r="AW84">
        <v>2</v>
      </c>
      <c r="AX84">
        <v>27553714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  <row r="85" spans="1:80" ht="12.75">
      <c r="A85">
        <f>ROW(Source!A110)</f>
        <v>110</v>
      </c>
      <c r="B85">
        <v>27553702</v>
      </c>
      <c r="C85">
        <v>27553697</v>
      </c>
      <c r="D85">
        <v>24451465</v>
      </c>
      <c r="E85">
        <v>1</v>
      </c>
      <c r="F85">
        <v>1</v>
      </c>
      <c r="G85">
        <v>1</v>
      </c>
      <c r="H85">
        <v>2</v>
      </c>
      <c r="I85" t="s">
        <v>287</v>
      </c>
      <c r="J85" t="s">
        <v>288</v>
      </c>
      <c r="K85" t="s">
        <v>289</v>
      </c>
      <c r="L85">
        <v>1368</v>
      </c>
      <c r="N85">
        <v>1011</v>
      </c>
      <c r="O85" t="s">
        <v>236</v>
      </c>
      <c r="P85" t="s">
        <v>236</v>
      </c>
      <c r="Q85">
        <v>1</v>
      </c>
      <c r="Y85">
        <v>3.96</v>
      </c>
      <c r="AA85">
        <v>0</v>
      </c>
      <c r="AB85">
        <v>75</v>
      </c>
      <c r="AC85">
        <v>11.6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3.96</v>
      </c>
      <c r="AV85">
        <v>0</v>
      </c>
      <c r="AW85">
        <v>2</v>
      </c>
      <c r="AX85">
        <v>27553715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B85">
        <v>0</v>
      </c>
    </row>
    <row r="86" spans="1:80" ht="12.75">
      <c r="A86">
        <f>ROW(Source!A110)</f>
        <v>110</v>
      </c>
      <c r="B86">
        <v>27553703</v>
      </c>
      <c r="C86">
        <v>27553697</v>
      </c>
      <c r="D86">
        <v>24451466</v>
      </c>
      <c r="E86">
        <v>1</v>
      </c>
      <c r="F86">
        <v>1</v>
      </c>
      <c r="G86">
        <v>1</v>
      </c>
      <c r="H86">
        <v>2</v>
      </c>
      <c r="I86" t="s">
        <v>290</v>
      </c>
      <c r="J86" t="s">
        <v>291</v>
      </c>
      <c r="K86" t="s">
        <v>292</v>
      </c>
      <c r="L86">
        <v>1368</v>
      </c>
      <c r="N86">
        <v>1011</v>
      </c>
      <c r="O86" t="s">
        <v>236</v>
      </c>
      <c r="P86" t="s">
        <v>236</v>
      </c>
      <c r="Q86">
        <v>1</v>
      </c>
      <c r="Y86">
        <v>11.51</v>
      </c>
      <c r="AA86">
        <v>0</v>
      </c>
      <c r="AB86">
        <v>121</v>
      </c>
      <c r="AC86">
        <v>14.4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11.51</v>
      </c>
      <c r="AV86">
        <v>0</v>
      </c>
      <c r="AW86">
        <v>2</v>
      </c>
      <c r="AX86">
        <v>27553716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B86">
        <v>0</v>
      </c>
    </row>
    <row r="87" spans="1:80" ht="12.75">
      <c r="A87">
        <f>ROW(Source!A110)</f>
        <v>110</v>
      </c>
      <c r="B87">
        <v>27553704</v>
      </c>
      <c r="C87">
        <v>27553697</v>
      </c>
      <c r="D87">
        <v>24451524</v>
      </c>
      <c r="E87">
        <v>1</v>
      </c>
      <c r="F87">
        <v>1</v>
      </c>
      <c r="G87">
        <v>1</v>
      </c>
      <c r="H87">
        <v>2</v>
      </c>
      <c r="I87" t="s">
        <v>272</v>
      </c>
      <c r="J87" t="s">
        <v>273</v>
      </c>
      <c r="K87" t="s">
        <v>274</v>
      </c>
      <c r="L87">
        <v>1368</v>
      </c>
      <c r="N87">
        <v>1011</v>
      </c>
      <c r="O87" t="s">
        <v>236</v>
      </c>
      <c r="P87" t="s">
        <v>236</v>
      </c>
      <c r="Q87">
        <v>1</v>
      </c>
      <c r="Y87">
        <v>0.39</v>
      </c>
      <c r="AA87">
        <v>0</v>
      </c>
      <c r="AB87">
        <v>110</v>
      </c>
      <c r="AC87">
        <v>11.6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0.39</v>
      </c>
      <c r="AV87">
        <v>0</v>
      </c>
      <c r="AW87">
        <v>2</v>
      </c>
      <c r="AX87">
        <v>27553717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B87">
        <v>0</v>
      </c>
    </row>
    <row r="88" spans="1:80" ht="12.75">
      <c r="A88">
        <f>ROW(Source!A110)</f>
        <v>110</v>
      </c>
      <c r="B88">
        <v>27553705</v>
      </c>
      <c r="C88">
        <v>27553697</v>
      </c>
      <c r="D88">
        <v>24451546</v>
      </c>
      <c r="E88">
        <v>1</v>
      </c>
      <c r="F88">
        <v>1</v>
      </c>
      <c r="G88">
        <v>1</v>
      </c>
      <c r="H88">
        <v>2</v>
      </c>
      <c r="I88" t="s">
        <v>293</v>
      </c>
      <c r="J88" t="s">
        <v>294</v>
      </c>
      <c r="K88" t="s">
        <v>295</v>
      </c>
      <c r="L88">
        <v>1368</v>
      </c>
      <c r="N88">
        <v>1011</v>
      </c>
      <c r="O88" t="s">
        <v>236</v>
      </c>
      <c r="P88" t="s">
        <v>236</v>
      </c>
      <c r="Q88">
        <v>1</v>
      </c>
      <c r="Y88">
        <v>3.19</v>
      </c>
      <c r="AA88">
        <v>0</v>
      </c>
      <c r="AB88">
        <v>195.2</v>
      </c>
      <c r="AC88">
        <v>14.4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3.19</v>
      </c>
      <c r="AV88">
        <v>0</v>
      </c>
      <c r="AW88">
        <v>2</v>
      </c>
      <c r="AX88">
        <v>27553718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B88">
        <v>0</v>
      </c>
    </row>
    <row r="89" spans="1:80" ht="12.75">
      <c r="A89">
        <f>ROW(Source!A110)</f>
        <v>110</v>
      </c>
      <c r="B89">
        <v>27553706</v>
      </c>
      <c r="C89">
        <v>27553697</v>
      </c>
      <c r="D89">
        <v>24452575</v>
      </c>
      <c r="E89">
        <v>1</v>
      </c>
      <c r="F89">
        <v>1</v>
      </c>
      <c r="G89">
        <v>1</v>
      </c>
      <c r="H89">
        <v>2</v>
      </c>
      <c r="I89" t="s">
        <v>237</v>
      </c>
      <c r="J89" t="s">
        <v>238</v>
      </c>
      <c r="K89" t="s">
        <v>239</v>
      </c>
      <c r="L89">
        <v>1368</v>
      </c>
      <c r="N89">
        <v>1011</v>
      </c>
      <c r="O89" t="s">
        <v>236</v>
      </c>
      <c r="P89" t="s">
        <v>236</v>
      </c>
      <c r="Q89">
        <v>1</v>
      </c>
      <c r="Y89">
        <v>0.04</v>
      </c>
      <c r="AA89">
        <v>0</v>
      </c>
      <c r="AB89">
        <v>87.17</v>
      </c>
      <c r="AC89">
        <v>11.6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0.04</v>
      </c>
      <c r="AV89">
        <v>0</v>
      </c>
      <c r="AW89">
        <v>2</v>
      </c>
      <c r="AX89">
        <v>27553719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B89">
        <v>0</v>
      </c>
    </row>
    <row r="90" spans="1:80" ht="12.75">
      <c r="A90">
        <f>ROW(Source!A110)</f>
        <v>110</v>
      </c>
      <c r="B90">
        <v>27553707</v>
      </c>
      <c r="C90">
        <v>27553697</v>
      </c>
      <c r="D90">
        <v>24453737</v>
      </c>
      <c r="E90">
        <v>1</v>
      </c>
      <c r="F90">
        <v>1</v>
      </c>
      <c r="G90">
        <v>1</v>
      </c>
      <c r="H90">
        <v>3</v>
      </c>
      <c r="I90" t="s">
        <v>296</v>
      </c>
      <c r="J90" t="s">
        <v>297</v>
      </c>
      <c r="K90" t="s">
        <v>298</v>
      </c>
      <c r="L90">
        <v>1348</v>
      </c>
      <c r="N90">
        <v>1009</v>
      </c>
      <c r="O90" t="s">
        <v>87</v>
      </c>
      <c r="P90" t="s">
        <v>87</v>
      </c>
      <c r="Q90">
        <v>1000</v>
      </c>
      <c r="Y90">
        <v>0.0062</v>
      </c>
      <c r="AA90">
        <v>5989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0.0062</v>
      </c>
      <c r="AV90">
        <v>0</v>
      </c>
      <c r="AW90">
        <v>2</v>
      </c>
      <c r="AX90">
        <v>27553720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B90">
        <v>0</v>
      </c>
    </row>
    <row r="91" spans="1:80" ht="12.75">
      <c r="A91">
        <f>ROW(Source!A110)</f>
        <v>110</v>
      </c>
      <c r="B91">
        <v>27553708</v>
      </c>
      <c r="C91">
        <v>27553697</v>
      </c>
      <c r="D91">
        <v>24454303</v>
      </c>
      <c r="E91">
        <v>1</v>
      </c>
      <c r="F91">
        <v>1</v>
      </c>
      <c r="G91">
        <v>1</v>
      </c>
      <c r="H91">
        <v>3</v>
      </c>
      <c r="I91" t="s">
        <v>299</v>
      </c>
      <c r="J91" t="s">
        <v>300</v>
      </c>
      <c r="K91" t="s">
        <v>301</v>
      </c>
      <c r="L91">
        <v>1348</v>
      </c>
      <c r="N91">
        <v>1009</v>
      </c>
      <c r="O91" t="s">
        <v>87</v>
      </c>
      <c r="P91" t="s">
        <v>87</v>
      </c>
      <c r="Q91">
        <v>1000</v>
      </c>
      <c r="Y91">
        <v>0.0108</v>
      </c>
      <c r="AA91">
        <v>1690.01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0.0108</v>
      </c>
      <c r="AV91">
        <v>0</v>
      </c>
      <c r="AW91">
        <v>2</v>
      </c>
      <c r="AX91">
        <v>27553721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B91">
        <v>0</v>
      </c>
    </row>
    <row r="92" spans="1:80" ht="12.75">
      <c r="A92">
        <f>ROW(Source!A110)</f>
        <v>110</v>
      </c>
      <c r="B92">
        <v>27553709</v>
      </c>
      <c r="C92">
        <v>27553697</v>
      </c>
      <c r="D92">
        <v>24456400</v>
      </c>
      <c r="E92">
        <v>1</v>
      </c>
      <c r="F92">
        <v>1</v>
      </c>
      <c r="G92">
        <v>1</v>
      </c>
      <c r="H92">
        <v>3</v>
      </c>
      <c r="I92" t="s">
        <v>302</v>
      </c>
      <c r="J92" t="s">
        <v>303</v>
      </c>
      <c r="K92" t="s">
        <v>304</v>
      </c>
      <c r="L92">
        <v>1339</v>
      </c>
      <c r="N92">
        <v>1007</v>
      </c>
      <c r="O92" t="s">
        <v>99</v>
      </c>
      <c r="P92" t="s">
        <v>99</v>
      </c>
      <c r="Q92">
        <v>1</v>
      </c>
      <c r="Y92">
        <v>0.15</v>
      </c>
      <c r="AA92">
        <v>1287.01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0.15</v>
      </c>
      <c r="AV92">
        <v>0</v>
      </c>
      <c r="AW92">
        <v>2</v>
      </c>
      <c r="AX92">
        <v>27553722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B92">
        <v>0</v>
      </c>
    </row>
    <row r="93" spans="1:80" ht="12.75">
      <c r="A93">
        <f>ROW(Source!A110)</f>
        <v>110</v>
      </c>
      <c r="B93">
        <v>27553710</v>
      </c>
      <c r="C93">
        <v>27553697</v>
      </c>
      <c r="D93">
        <v>24472221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1348</v>
      </c>
      <c r="N93">
        <v>1009</v>
      </c>
      <c r="O93" t="s">
        <v>87</v>
      </c>
      <c r="P93" t="s">
        <v>87</v>
      </c>
      <c r="Q93">
        <v>1000</v>
      </c>
      <c r="Y93">
        <v>96.6</v>
      </c>
      <c r="AA93">
        <v>535.5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96.6</v>
      </c>
      <c r="AV93">
        <v>0</v>
      </c>
      <c r="AW93">
        <v>2</v>
      </c>
      <c r="AX93">
        <v>27553723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B93">
        <v>0</v>
      </c>
    </row>
    <row r="94" spans="1:80" ht="12.75">
      <c r="A94">
        <f>ROW(Source!A111)</f>
        <v>111</v>
      </c>
      <c r="B94">
        <v>27553725</v>
      </c>
      <c r="C94">
        <v>27553724</v>
      </c>
      <c r="D94">
        <v>24506163</v>
      </c>
      <c r="E94">
        <v>1</v>
      </c>
      <c r="F94">
        <v>1</v>
      </c>
      <c r="G94">
        <v>1</v>
      </c>
      <c r="H94">
        <v>1</v>
      </c>
      <c r="I94" t="s">
        <v>282</v>
      </c>
      <c r="K94" t="s">
        <v>283</v>
      </c>
      <c r="L94">
        <v>1369</v>
      </c>
      <c r="N94">
        <v>1013</v>
      </c>
      <c r="O94" t="s">
        <v>228</v>
      </c>
      <c r="P94" t="s">
        <v>228</v>
      </c>
      <c r="Q94">
        <v>1</v>
      </c>
      <c r="Y94">
        <v>0.18</v>
      </c>
      <c r="AA94">
        <v>0</v>
      </c>
      <c r="AB94">
        <v>0</v>
      </c>
      <c r="AC94">
        <v>0</v>
      </c>
      <c r="AD94">
        <v>9.62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0.09</v>
      </c>
      <c r="AU94" t="s">
        <v>122</v>
      </c>
      <c r="AV94">
        <v>1</v>
      </c>
      <c r="AW94">
        <v>2</v>
      </c>
      <c r="AX94">
        <v>27553730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B94">
        <v>0</v>
      </c>
    </row>
    <row r="95" spans="1:80" ht="12.75">
      <c r="A95">
        <f>ROW(Source!A111)</f>
        <v>111</v>
      </c>
      <c r="B95">
        <v>27553726</v>
      </c>
      <c r="C95">
        <v>27553724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28</v>
      </c>
      <c r="K95" t="s">
        <v>229</v>
      </c>
      <c r="L95">
        <v>608254</v>
      </c>
      <c r="N95">
        <v>1013</v>
      </c>
      <c r="O95" t="s">
        <v>230</v>
      </c>
      <c r="P95" t="s">
        <v>230</v>
      </c>
      <c r="Q95">
        <v>1</v>
      </c>
      <c r="Y95">
        <v>0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</v>
      </c>
      <c r="AU95" t="s">
        <v>122</v>
      </c>
      <c r="AV95">
        <v>2</v>
      </c>
      <c r="AW95">
        <v>2</v>
      </c>
      <c r="AX95">
        <v>27553731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B95">
        <v>0</v>
      </c>
    </row>
    <row r="96" spans="1:80" ht="12.75">
      <c r="A96">
        <f>ROW(Source!A111)</f>
        <v>111</v>
      </c>
      <c r="B96">
        <v>27553727</v>
      </c>
      <c r="C96">
        <v>27553724</v>
      </c>
      <c r="D96">
        <v>24451446</v>
      </c>
      <c r="E96">
        <v>1</v>
      </c>
      <c r="F96">
        <v>1</v>
      </c>
      <c r="G96">
        <v>1</v>
      </c>
      <c r="H96">
        <v>2</v>
      </c>
      <c r="I96" t="s">
        <v>284</v>
      </c>
      <c r="J96" t="s">
        <v>285</v>
      </c>
      <c r="K96" t="s">
        <v>286</v>
      </c>
      <c r="L96">
        <v>1368</v>
      </c>
      <c r="N96">
        <v>1011</v>
      </c>
      <c r="O96" t="s">
        <v>236</v>
      </c>
      <c r="P96" t="s">
        <v>236</v>
      </c>
      <c r="Q96">
        <v>1</v>
      </c>
      <c r="Y96">
        <v>0.36</v>
      </c>
      <c r="AA96">
        <v>0</v>
      </c>
      <c r="AB96">
        <v>17.2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0.18</v>
      </c>
      <c r="AU96" t="s">
        <v>122</v>
      </c>
      <c r="AV96">
        <v>0</v>
      </c>
      <c r="AW96">
        <v>2</v>
      </c>
      <c r="AX96">
        <v>27553732</v>
      </c>
      <c r="AY96">
        <v>1</v>
      </c>
      <c r="AZ96">
        <v>0</v>
      </c>
      <c r="BA96">
        <v>94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B96">
        <v>0</v>
      </c>
    </row>
    <row r="97" spans="1:80" ht="12.75">
      <c r="A97">
        <f>ROW(Source!A111)</f>
        <v>111</v>
      </c>
      <c r="B97">
        <v>27553728</v>
      </c>
      <c r="C97">
        <v>27553724</v>
      </c>
      <c r="D97">
        <v>24454303</v>
      </c>
      <c r="E97">
        <v>1</v>
      </c>
      <c r="F97">
        <v>1</v>
      </c>
      <c r="G97">
        <v>1</v>
      </c>
      <c r="H97">
        <v>3</v>
      </c>
      <c r="I97" t="s">
        <v>299</v>
      </c>
      <c r="J97" t="s">
        <v>300</v>
      </c>
      <c r="K97" t="s">
        <v>301</v>
      </c>
      <c r="L97">
        <v>1348</v>
      </c>
      <c r="N97">
        <v>1009</v>
      </c>
      <c r="O97" t="s">
        <v>87</v>
      </c>
      <c r="P97" t="s">
        <v>87</v>
      </c>
      <c r="Q97">
        <v>1000</v>
      </c>
      <c r="Y97">
        <v>0.0014</v>
      </c>
      <c r="AA97">
        <v>1690.01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0.0014</v>
      </c>
      <c r="AV97">
        <v>0</v>
      </c>
      <c r="AW97">
        <v>2</v>
      </c>
      <c r="AX97">
        <v>27553733</v>
      </c>
      <c r="AY97">
        <v>2</v>
      </c>
      <c r="AZ97">
        <v>4096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B97">
        <v>0</v>
      </c>
    </row>
    <row r="98" spans="1:80" ht="12.75">
      <c r="A98">
        <f>ROW(Source!A111)</f>
        <v>111</v>
      </c>
      <c r="B98">
        <v>27553729</v>
      </c>
      <c r="C98">
        <v>27553724</v>
      </c>
      <c r="D98">
        <v>24472221</v>
      </c>
      <c r="E98">
        <v>1</v>
      </c>
      <c r="F98">
        <v>1</v>
      </c>
      <c r="G98">
        <v>1</v>
      </c>
      <c r="H98">
        <v>3</v>
      </c>
      <c r="I98" t="s">
        <v>305</v>
      </c>
      <c r="J98" t="s">
        <v>306</v>
      </c>
      <c r="K98" t="s">
        <v>307</v>
      </c>
      <c r="L98">
        <v>1348</v>
      </c>
      <c r="N98">
        <v>1009</v>
      </c>
      <c r="O98" t="s">
        <v>87</v>
      </c>
      <c r="P98" t="s">
        <v>87</v>
      </c>
      <c r="Q98">
        <v>1000</v>
      </c>
      <c r="Y98">
        <v>12.1</v>
      </c>
      <c r="AA98">
        <v>535.5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12.1</v>
      </c>
      <c r="AV98">
        <v>0</v>
      </c>
      <c r="AW98">
        <v>2</v>
      </c>
      <c r="AX98">
        <v>27553734</v>
      </c>
      <c r="AY98">
        <v>2</v>
      </c>
      <c r="AZ98">
        <v>4096</v>
      </c>
      <c r="BA98">
        <v>96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B98">
        <v>0</v>
      </c>
    </row>
    <row r="99" spans="1:80" ht="12.75">
      <c r="A99">
        <f>ROW(Source!A133)</f>
        <v>133</v>
      </c>
      <c r="B99">
        <v>27551579</v>
      </c>
      <c r="C99">
        <v>27551578</v>
      </c>
      <c r="D99">
        <v>24505038</v>
      </c>
      <c r="E99">
        <v>1</v>
      </c>
      <c r="F99">
        <v>1</v>
      </c>
      <c r="G99">
        <v>1</v>
      </c>
      <c r="H99">
        <v>1</v>
      </c>
      <c r="I99" t="s">
        <v>278</v>
      </c>
      <c r="K99" t="s">
        <v>279</v>
      </c>
      <c r="L99">
        <v>1369</v>
      </c>
      <c r="N99">
        <v>1013</v>
      </c>
      <c r="O99" t="s">
        <v>228</v>
      </c>
      <c r="P99" t="s">
        <v>228</v>
      </c>
      <c r="Q99">
        <v>1</v>
      </c>
      <c r="Y99">
        <v>24.19</v>
      </c>
      <c r="AA99">
        <v>0</v>
      </c>
      <c r="AB99">
        <v>0</v>
      </c>
      <c r="AC99">
        <v>0</v>
      </c>
      <c r="AD99">
        <v>8.09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24.19</v>
      </c>
      <c r="AV99">
        <v>1</v>
      </c>
      <c r="AW99">
        <v>2</v>
      </c>
      <c r="AX99">
        <v>27551587</v>
      </c>
      <c r="AY99">
        <v>1</v>
      </c>
      <c r="AZ99">
        <v>0</v>
      </c>
      <c r="BA99">
        <v>97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B99">
        <v>0</v>
      </c>
    </row>
    <row r="100" spans="1:80" ht="12.75">
      <c r="A100">
        <f>ROW(Source!A133)</f>
        <v>133</v>
      </c>
      <c r="B100">
        <v>27551580</v>
      </c>
      <c r="C100">
        <v>27551578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28</v>
      </c>
      <c r="K100" t="s">
        <v>229</v>
      </c>
      <c r="L100">
        <v>608254</v>
      </c>
      <c r="N100">
        <v>1013</v>
      </c>
      <c r="O100" t="s">
        <v>230</v>
      </c>
      <c r="P100" t="s">
        <v>230</v>
      </c>
      <c r="Q100">
        <v>1</v>
      </c>
      <c r="Y100">
        <v>20.6</v>
      </c>
      <c r="AA100">
        <v>0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20.6</v>
      </c>
      <c r="AV100">
        <v>2</v>
      </c>
      <c r="AW100">
        <v>2</v>
      </c>
      <c r="AX100">
        <v>27551588</v>
      </c>
      <c r="AY100">
        <v>1</v>
      </c>
      <c r="AZ100">
        <v>0</v>
      </c>
      <c r="BA100">
        <v>98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B100">
        <v>0</v>
      </c>
    </row>
    <row r="101" spans="1:80" ht="12.75">
      <c r="A101">
        <f>ROW(Source!A133)</f>
        <v>133</v>
      </c>
      <c r="B101">
        <v>27551581</v>
      </c>
      <c r="C101">
        <v>27551578</v>
      </c>
      <c r="D101">
        <v>24450908</v>
      </c>
      <c r="E101">
        <v>1</v>
      </c>
      <c r="F101">
        <v>1</v>
      </c>
      <c r="G101">
        <v>1</v>
      </c>
      <c r="H101">
        <v>2</v>
      </c>
      <c r="I101" t="s">
        <v>263</v>
      </c>
      <c r="J101" t="s">
        <v>264</v>
      </c>
      <c r="K101" t="s">
        <v>265</v>
      </c>
      <c r="L101">
        <v>1368</v>
      </c>
      <c r="N101">
        <v>1011</v>
      </c>
      <c r="O101" t="s">
        <v>236</v>
      </c>
      <c r="P101" t="s">
        <v>236</v>
      </c>
      <c r="Q101">
        <v>1</v>
      </c>
      <c r="Y101">
        <v>2.46</v>
      </c>
      <c r="AA101">
        <v>0</v>
      </c>
      <c r="AB101">
        <v>99.89</v>
      </c>
      <c r="AC101">
        <v>10.06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2.46</v>
      </c>
      <c r="AV101">
        <v>0</v>
      </c>
      <c r="AW101">
        <v>2</v>
      </c>
      <c r="AX101">
        <v>27551589</v>
      </c>
      <c r="AY101">
        <v>1</v>
      </c>
      <c r="AZ101">
        <v>0</v>
      </c>
      <c r="BA101">
        <v>99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B101">
        <v>0</v>
      </c>
    </row>
    <row r="102" spans="1:80" ht="12.75">
      <c r="A102">
        <f>ROW(Source!A133)</f>
        <v>133</v>
      </c>
      <c r="B102">
        <v>27551582</v>
      </c>
      <c r="C102">
        <v>27551578</v>
      </c>
      <c r="D102">
        <v>24451199</v>
      </c>
      <c r="E102">
        <v>1</v>
      </c>
      <c r="F102">
        <v>1</v>
      </c>
      <c r="G102">
        <v>1</v>
      </c>
      <c r="H102">
        <v>2</v>
      </c>
      <c r="I102" t="s">
        <v>257</v>
      </c>
      <c r="J102" t="s">
        <v>280</v>
      </c>
      <c r="K102" t="s">
        <v>281</v>
      </c>
      <c r="L102">
        <v>1368</v>
      </c>
      <c r="N102">
        <v>1011</v>
      </c>
      <c r="O102" t="s">
        <v>236</v>
      </c>
      <c r="P102" t="s">
        <v>236</v>
      </c>
      <c r="Q102">
        <v>1</v>
      </c>
      <c r="Y102">
        <v>2.59</v>
      </c>
      <c r="AA102">
        <v>0</v>
      </c>
      <c r="AB102">
        <v>80.01</v>
      </c>
      <c r="AC102">
        <v>14.4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2.59</v>
      </c>
      <c r="AV102">
        <v>0</v>
      </c>
      <c r="AW102">
        <v>2</v>
      </c>
      <c r="AX102">
        <v>27551590</v>
      </c>
      <c r="AY102">
        <v>1</v>
      </c>
      <c r="AZ102">
        <v>0</v>
      </c>
      <c r="BA102">
        <v>100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B102">
        <v>0</v>
      </c>
    </row>
    <row r="103" spans="1:80" ht="12.75">
      <c r="A103">
        <f>ROW(Source!A133)</f>
        <v>133</v>
      </c>
      <c r="B103">
        <v>27551583</v>
      </c>
      <c r="C103">
        <v>27551578</v>
      </c>
      <c r="D103">
        <v>24451440</v>
      </c>
      <c r="E103">
        <v>1</v>
      </c>
      <c r="F103">
        <v>1</v>
      </c>
      <c r="G103">
        <v>1</v>
      </c>
      <c r="H103">
        <v>2</v>
      </c>
      <c r="I103" t="s">
        <v>266</v>
      </c>
      <c r="J103" t="s">
        <v>267</v>
      </c>
      <c r="K103" t="s">
        <v>268</v>
      </c>
      <c r="L103">
        <v>1368</v>
      </c>
      <c r="N103">
        <v>1011</v>
      </c>
      <c r="O103" t="s">
        <v>236</v>
      </c>
      <c r="P103" t="s">
        <v>236</v>
      </c>
      <c r="Q103">
        <v>1</v>
      </c>
      <c r="Y103">
        <v>2.3</v>
      </c>
      <c r="AA103">
        <v>0</v>
      </c>
      <c r="AB103">
        <v>123</v>
      </c>
      <c r="AC103">
        <v>13.5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2.3</v>
      </c>
      <c r="AV103">
        <v>0</v>
      </c>
      <c r="AW103">
        <v>2</v>
      </c>
      <c r="AX103">
        <v>27551591</v>
      </c>
      <c r="AY103">
        <v>1</v>
      </c>
      <c r="AZ103">
        <v>0</v>
      </c>
      <c r="BA103">
        <v>101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B103">
        <v>0</v>
      </c>
    </row>
    <row r="104" spans="1:80" ht="12.75">
      <c r="A104">
        <f>ROW(Source!A133)</f>
        <v>133</v>
      </c>
      <c r="B104">
        <v>27551584</v>
      </c>
      <c r="C104">
        <v>27551578</v>
      </c>
      <c r="D104">
        <v>24451470</v>
      </c>
      <c r="E104">
        <v>1</v>
      </c>
      <c r="F104">
        <v>1</v>
      </c>
      <c r="G104">
        <v>1</v>
      </c>
      <c r="H104">
        <v>2</v>
      </c>
      <c r="I104" t="s">
        <v>269</v>
      </c>
      <c r="J104" t="s">
        <v>270</v>
      </c>
      <c r="K104" t="s">
        <v>271</v>
      </c>
      <c r="L104">
        <v>1368</v>
      </c>
      <c r="N104">
        <v>1011</v>
      </c>
      <c r="O104" t="s">
        <v>236</v>
      </c>
      <c r="P104" t="s">
        <v>236</v>
      </c>
      <c r="Q104">
        <v>1</v>
      </c>
      <c r="Y104">
        <v>12.21</v>
      </c>
      <c r="AA104">
        <v>0</v>
      </c>
      <c r="AB104">
        <v>206.01</v>
      </c>
      <c r="AC104">
        <v>14.4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12.21</v>
      </c>
      <c r="AV104">
        <v>0</v>
      </c>
      <c r="AW104">
        <v>2</v>
      </c>
      <c r="AX104">
        <v>27551592</v>
      </c>
      <c r="AY104">
        <v>1</v>
      </c>
      <c r="AZ104">
        <v>0</v>
      </c>
      <c r="BA104">
        <v>102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B104">
        <v>0</v>
      </c>
    </row>
    <row r="105" spans="1:80" ht="12.75">
      <c r="A105">
        <f>ROW(Source!A133)</f>
        <v>133</v>
      </c>
      <c r="B105">
        <v>27551585</v>
      </c>
      <c r="C105">
        <v>27551578</v>
      </c>
      <c r="D105">
        <v>24451524</v>
      </c>
      <c r="E105">
        <v>1</v>
      </c>
      <c r="F105">
        <v>1</v>
      </c>
      <c r="G105">
        <v>1</v>
      </c>
      <c r="H105">
        <v>2</v>
      </c>
      <c r="I105" t="s">
        <v>272</v>
      </c>
      <c r="J105" t="s">
        <v>273</v>
      </c>
      <c r="K105" t="s">
        <v>274</v>
      </c>
      <c r="L105">
        <v>1368</v>
      </c>
      <c r="N105">
        <v>1011</v>
      </c>
      <c r="O105" t="s">
        <v>236</v>
      </c>
      <c r="P105" t="s">
        <v>236</v>
      </c>
      <c r="Q105">
        <v>1</v>
      </c>
      <c r="Y105">
        <v>1.04</v>
      </c>
      <c r="AA105">
        <v>0</v>
      </c>
      <c r="AB105">
        <v>110</v>
      </c>
      <c r="AC105">
        <v>11.6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1.04</v>
      </c>
      <c r="AV105">
        <v>0</v>
      </c>
      <c r="AW105">
        <v>2</v>
      </c>
      <c r="AX105">
        <v>27551593</v>
      </c>
      <c r="AY105">
        <v>1</v>
      </c>
      <c r="AZ105">
        <v>0</v>
      </c>
      <c r="BA105">
        <v>103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B105">
        <v>0</v>
      </c>
    </row>
    <row r="106" spans="1:80" ht="12.75">
      <c r="A106">
        <f>ROW(Source!A133)</f>
        <v>133</v>
      </c>
      <c r="B106">
        <v>27551597</v>
      </c>
      <c r="C106">
        <v>27551578</v>
      </c>
      <c r="D106">
        <v>24472140</v>
      </c>
      <c r="E106">
        <v>1</v>
      </c>
      <c r="F106">
        <v>1</v>
      </c>
      <c r="G106">
        <v>1</v>
      </c>
      <c r="H106">
        <v>3</v>
      </c>
      <c r="I106" t="s">
        <v>106</v>
      </c>
      <c r="J106" t="s">
        <v>108</v>
      </c>
      <c r="K106" t="s">
        <v>107</v>
      </c>
      <c r="L106">
        <v>1339</v>
      </c>
      <c r="N106">
        <v>1007</v>
      </c>
      <c r="O106" t="s">
        <v>99</v>
      </c>
      <c r="P106" t="s">
        <v>99</v>
      </c>
      <c r="Q106">
        <v>1</v>
      </c>
      <c r="Y106">
        <v>125</v>
      </c>
      <c r="AA106">
        <v>98.6</v>
      </c>
      <c r="AB106">
        <v>0</v>
      </c>
      <c r="AC106">
        <v>0</v>
      </c>
      <c r="AD106">
        <v>0</v>
      </c>
      <c r="AN106">
        <v>1</v>
      </c>
      <c r="AO106">
        <v>0</v>
      </c>
      <c r="AP106">
        <v>0</v>
      </c>
      <c r="AQ106">
        <v>0</v>
      </c>
      <c r="AR106">
        <v>0</v>
      </c>
      <c r="AT106">
        <v>125</v>
      </c>
      <c r="AV106">
        <v>0</v>
      </c>
      <c r="AW106">
        <v>1</v>
      </c>
      <c r="AX106">
        <v>-1</v>
      </c>
      <c r="AY106">
        <v>0</v>
      </c>
      <c r="AZ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B106">
        <v>0</v>
      </c>
    </row>
    <row r="107" spans="1:80" ht="12.75">
      <c r="A107">
        <f>ROW(Source!A133)</f>
        <v>133</v>
      </c>
      <c r="B107">
        <v>27551586</v>
      </c>
      <c r="C107">
        <v>27551578</v>
      </c>
      <c r="D107">
        <v>24472293</v>
      </c>
      <c r="E107">
        <v>1</v>
      </c>
      <c r="F107">
        <v>1</v>
      </c>
      <c r="G107">
        <v>1</v>
      </c>
      <c r="H107">
        <v>3</v>
      </c>
      <c r="I107" t="s">
        <v>275</v>
      </c>
      <c r="J107" t="s">
        <v>276</v>
      </c>
      <c r="K107" t="s">
        <v>277</v>
      </c>
      <c r="L107">
        <v>1339</v>
      </c>
      <c r="N107">
        <v>1007</v>
      </c>
      <c r="O107" t="s">
        <v>99</v>
      </c>
      <c r="P107" t="s">
        <v>99</v>
      </c>
      <c r="Q107">
        <v>1</v>
      </c>
      <c r="Y107">
        <v>7</v>
      </c>
      <c r="AA107">
        <v>2.44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7</v>
      </c>
      <c r="AV107">
        <v>0</v>
      </c>
      <c r="AW107">
        <v>2</v>
      </c>
      <c r="AX107">
        <v>27551595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B107">
        <v>0</v>
      </c>
    </row>
    <row r="108" spans="1:80" ht="12.75">
      <c r="A108">
        <f>ROW(Source!A135)</f>
        <v>135</v>
      </c>
      <c r="B108">
        <v>27551599</v>
      </c>
      <c r="C108">
        <v>27551598</v>
      </c>
      <c r="D108">
        <v>24506163</v>
      </c>
      <c r="E108">
        <v>1</v>
      </c>
      <c r="F108">
        <v>1</v>
      </c>
      <c r="G108">
        <v>1</v>
      </c>
      <c r="H108">
        <v>1</v>
      </c>
      <c r="I108" t="s">
        <v>282</v>
      </c>
      <c r="K108" t="s">
        <v>283</v>
      </c>
      <c r="L108">
        <v>1369</v>
      </c>
      <c r="N108">
        <v>1013</v>
      </c>
      <c r="O108" t="s">
        <v>228</v>
      </c>
      <c r="P108" t="s">
        <v>228</v>
      </c>
      <c r="Q108">
        <v>1</v>
      </c>
      <c r="Y108">
        <v>38.3</v>
      </c>
      <c r="AA108">
        <v>0</v>
      </c>
      <c r="AB108">
        <v>0</v>
      </c>
      <c r="AC108">
        <v>0</v>
      </c>
      <c r="AD108">
        <v>9.62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38.3</v>
      </c>
      <c r="AV108">
        <v>1</v>
      </c>
      <c r="AW108">
        <v>2</v>
      </c>
      <c r="AX108">
        <v>27551612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B108">
        <v>0</v>
      </c>
    </row>
    <row r="109" spans="1:80" ht="12.75">
      <c r="A109">
        <f>ROW(Source!A135)</f>
        <v>135</v>
      </c>
      <c r="B109">
        <v>27551600</v>
      </c>
      <c r="C109">
        <v>27551598</v>
      </c>
      <c r="D109">
        <v>121548</v>
      </c>
      <c r="E109">
        <v>1</v>
      </c>
      <c r="F109">
        <v>1</v>
      </c>
      <c r="G109">
        <v>1</v>
      </c>
      <c r="H109">
        <v>1</v>
      </c>
      <c r="I109" t="s">
        <v>28</v>
      </c>
      <c r="K109" t="s">
        <v>229</v>
      </c>
      <c r="L109">
        <v>608254</v>
      </c>
      <c r="N109">
        <v>1013</v>
      </c>
      <c r="O109" t="s">
        <v>230</v>
      </c>
      <c r="P109" t="s">
        <v>230</v>
      </c>
      <c r="Q109">
        <v>1</v>
      </c>
      <c r="Y109">
        <v>19.08</v>
      </c>
      <c r="AA109">
        <v>0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19.08</v>
      </c>
      <c r="AV109">
        <v>2</v>
      </c>
      <c r="AW109">
        <v>2</v>
      </c>
      <c r="AX109">
        <v>27551613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B109">
        <v>0</v>
      </c>
    </row>
    <row r="110" spans="1:80" ht="12.75">
      <c r="A110">
        <f>ROW(Source!A135)</f>
        <v>135</v>
      </c>
      <c r="B110">
        <v>27551601</v>
      </c>
      <c r="C110">
        <v>27551598</v>
      </c>
      <c r="D110">
        <v>24450839</v>
      </c>
      <c r="E110">
        <v>1</v>
      </c>
      <c r="F110">
        <v>1</v>
      </c>
      <c r="G110">
        <v>1</v>
      </c>
      <c r="H110">
        <v>2</v>
      </c>
      <c r="I110" t="s">
        <v>233</v>
      </c>
      <c r="J110" t="s">
        <v>234</v>
      </c>
      <c r="K110" t="s">
        <v>235</v>
      </c>
      <c r="L110">
        <v>1368</v>
      </c>
      <c r="N110">
        <v>1011</v>
      </c>
      <c r="O110" t="s">
        <v>236</v>
      </c>
      <c r="P110" t="s">
        <v>236</v>
      </c>
      <c r="Q110">
        <v>1</v>
      </c>
      <c r="Y110">
        <v>0.03</v>
      </c>
      <c r="AA110">
        <v>0</v>
      </c>
      <c r="AB110">
        <v>112</v>
      </c>
      <c r="AC110">
        <v>13.5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0.03</v>
      </c>
      <c r="AV110">
        <v>0</v>
      </c>
      <c r="AW110">
        <v>2</v>
      </c>
      <c r="AX110">
        <v>27551614</v>
      </c>
      <c r="AY110">
        <v>1</v>
      </c>
      <c r="AZ110">
        <v>0</v>
      </c>
      <c r="BA110">
        <v>108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B110">
        <v>0</v>
      </c>
    </row>
    <row r="111" spans="1:80" ht="12.75">
      <c r="A111">
        <f>ROW(Source!A135)</f>
        <v>135</v>
      </c>
      <c r="B111">
        <v>27551602</v>
      </c>
      <c r="C111">
        <v>27551598</v>
      </c>
      <c r="D111">
        <v>24451446</v>
      </c>
      <c r="E111">
        <v>1</v>
      </c>
      <c r="F111">
        <v>1</v>
      </c>
      <c r="G111">
        <v>1</v>
      </c>
      <c r="H111">
        <v>2</v>
      </c>
      <c r="I111" t="s">
        <v>284</v>
      </c>
      <c r="J111" t="s">
        <v>285</v>
      </c>
      <c r="K111" t="s">
        <v>286</v>
      </c>
      <c r="L111">
        <v>1368</v>
      </c>
      <c r="N111">
        <v>1011</v>
      </c>
      <c r="O111" t="s">
        <v>236</v>
      </c>
      <c r="P111" t="s">
        <v>236</v>
      </c>
      <c r="Q111">
        <v>1</v>
      </c>
      <c r="Y111">
        <v>1.4</v>
      </c>
      <c r="AA111">
        <v>0</v>
      </c>
      <c r="AB111">
        <v>17.2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1.4</v>
      </c>
      <c r="AV111">
        <v>0</v>
      </c>
      <c r="AW111">
        <v>2</v>
      </c>
      <c r="AX111">
        <v>27551615</v>
      </c>
      <c r="AY111">
        <v>1</v>
      </c>
      <c r="AZ111">
        <v>0</v>
      </c>
      <c r="BA111">
        <v>109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B111">
        <v>0</v>
      </c>
    </row>
    <row r="112" spans="1:80" ht="12.75">
      <c r="A112">
        <f>ROW(Source!A135)</f>
        <v>135</v>
      </c>
      <c r="B112">
        <v>27551603</v>
      </c>
      <c r="C112">
        <v>27551598</v>
      </c>
      <c r="D112">
        <v>24451465</v>
      </c>
      <c r="E112">
        <v>1</v>
      </c>
      <c r="F112">
        <v>1</v>
      </c>
      <c r="G112">
        <v>1</v>
      </c>
      <c r="H112">
        <v>2</v>
      </c>
      <c r="I112" t="s">
        <v>287</v>
      </c>
      <c r="J112" t="s">
        <v>288</v>
      </c>
      <c r="K112" t="s">
        <v>289</v>
      </c>
      <c r="L112">
        <v>1368</v>
      </c>
      <c r="N112">
        <v>1011</v>
      </c>
      <c r="O112" t="s">
        <v>236</v>
      </c>
      <c r="P112" t="s">
        <v>236</v>
      </c>
      <c r="Q112">
        <v>1</v>
      </c>
      <c r="Y112">
        <v>3.96</v>
      </c>
      <c r="AA112">
        <v>0</v>
      </c>
      <c r="AB112">
        <v>75</v>
      </c>
      <c r="AC112">
        <v>11.6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3.96</v>
      </c>
      <c r="AV112">
        <v>0</v>
      </c>
      <c r="AW112">
        <v>2</v>
      </c>
      <c r="AX112">
        <v>27551616</v>
      </c>
      <c r="AY112">
        <v>1</v>
      </c>
      <c r="AZ112">
        <v>0</v>
      </c>
      <c r="BA112">
        <v>110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B112">
        <v>0</v>
      </c>
    </row>
    <row r="113" spans="1:80" ht="12.75">
      <c r="A113">
        <f>ROW(Source!A135)</f>
        <v>135</v>
      </c>
      <c r="B113">
        <v>27551604</v>
      </c>
      <c r="C113">
        <v>27551598</v>
      </c>
      <c r="D113">
        <v>24451466</v>
      </c>
      <c r="E113">
        <v>1</v>
      </c>
      <c r="F113">
        <v>1</v>
      </c>
      <c r="G113">
        <v>1</v>
      </c>
      <c r="H113">
        <v>2</v>
      </c>
      <c r="I113" t="s">
        <v>290</v>
      </c>
      <c r="J113" t="s">
        <v>291</v>
      </c>
      <c r="K113" t="s">
        <v>292</v>
      </c>
      <c r="L113">
        <v>1368</v>
      </c>
      <c r="N113">
        <v>1011</v>
      </c>
      <c r="O113" t="s">
        <v>236</v>
      </c>
      <c r="P113" t="s">
        <v>236</v>
      </c>
      <c r="Q113">
        <v>1</v>
      </c>
      <c r="Y113">
        <v>11.51</v>
      </c>
      <c r="AA113">
        <v>0</v>
      </c>
      <c r="AB113">
        <v>121</v>
      </c>
      <c r="AC113">
        <v>14.4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11.51</v>
      </c>
      <c r="AV113">
        <v>0</v>
      </c>
      <c r="AW113">
        <v>2</v>
      </c>
      <c r="AX113">
        <v>27551617</v>
      </c>
      <c r="AY113">
        <v>1</v>
      </c>
      <c r="AZ113">
        <v>0</v>
      </c>
      <c r="BA113">
        <v>111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B113">
        <v>0</v>
      </c>
    </row>
    <row r="114" spans="1:80" ht="12.75">
      <c r="A114">
        <f>ROW(Source!A135)</f>
        <v>135</v>
      </c>
      <c r="B114">
        <v>27551605</v>
      </c>
      <c r="C114">
        <v>27551598</v>
      </c>
      <c r="D114">
        <v>24451524</v>
      </c>
      <c r="E114">
        <v>1</v>
      </c>
      <c r="F114">
        <v>1</v>
      </c>
      <c r="G114">
        <v>1</v>
      </c>
      <c r="H114">
        <v>2</v>
      </c>
      <c r="I114" t="s">
        <v>272</v>
      </c>
      <c r="J114" t="s">
        <v>273</v>
      </c>
      <c r="K114" t="s">
        <v>274</v>
      </c>
      <c r="L114">
        <v>1368</v>
      </c>
      <c r="N114">
        <v>1011</v>
      </c>
      <c r="O114" t="s">
        <v>236</v>
      </c>
      <c r="P114" t="s">
        <v>236</v>
      </c>
      <c r="Q114">
        <v>1</v>
      </c>
      <c r="Y114">
        <v>0.39</v>
      </c>
      <c r="AA114">
        <v>0</v>
      </c>
      <c r="AB114">
        <v>110</v>
      </c>
      <c r="AC114">
        <v>11.6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0.39</v>
      </c>
      <c r="AV114">
        <v>0</v>
      </c>
      <c r="AW114">
        <v>2</v>
      </c>
      <c r="AX114">
        <v>27551618</v>
      </c>
      <c r="AY114">
        <v>1</v>
      </c>
      <c r="AZ114">
        <v>0</v>
      </c>
      <c r="BA114">
        <v>112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B114">
        <v>0</v>
      </c>
    </row>
    <row r="115" spans="1:80" ht="12.75">
      <c r="A115">
        <f>ROW(Source!A135)</f>
        <v>135</v>
      </c>
      <c r="B115">
        <v>27551606</v>
      </c>
      <c r="C115">
        <v>27551598</v>
      </c>
      <c r="D115">
        <v>24451546</v>
      </c>
      <c r="E115">
        <v>1</v>
      </c>
      <c r="F115">
        <v>1</v>
      </c>
      <c r="G115">
        <v>1</v>
      </c>
      <c r="H115">
        <v>2</v>
      </c>
      <c r="I115" t="s">
        <v>293</v>
      </c>
      <c r="J115" t="s">
        <v>294</v>
      </c>
      <c r="K115" t="s">
        <v>295</v>
      </c>
      <c r="L115">
        <v>1368</v>
      </c>
      <c r="N115">
        <v>1011</v>
      </c>
      <c r="O115" t="s">
        <v>236</v>
      </c>
      <c r="P115" t="s">
        <v>236</v>
      </c>
      <c r="Q115">
        <v>1</v>
      </c>
      <c r="Y115">
        <v>3.19</v>
      </c>
      <c r="AA115">
        <v>0</v>
      </c>
      <c r="AB115">
        <v>195.2</v>
      </c>
      <c r="AC115">
        <v>14.4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3.19</v>
      </c>
      <c r="AV115">
        <v>0</v>
      </c>
      <c r="AW115">
        <v>2</v>
      </c>
      <c r="AX115">
        <v>27551619</v>
      </c>
      <c r="AY115">
        <v>1</v>
      </c>
      <c r="AZ115">
        <v>0</v>
      </c>
      <c r="BA115">
        <v>113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B115">
        <v>0</v>
      </c>
    </row>
    <row r="116" spans="1:80" ht="12.75">
      <c r="A116">
        <f>ROW(Source!A135)</f>
        <v>135</v>
      </c>
      <c r="B116">
        <v>27551607</v>
      </c>
      <c r="C116">
        <v>27551598</v>
      </c>
      <c r="D116">
        <v>24452575</v>
      </c>
      <c r="E116">
        <v>1</v>
      </c>
      <c r="F116">
        <v>1</v>
      </c>
      <c r="G116">
        <v>1</v>
      </c>
      <c r="H116">
        <v>2</v>
      </c>
      <c r="I116" t="s">
        <v>237</v>
      </c>
      <c r="J116" t="s">
        <v>238</v>
      </c>
      <c r="K116" t="s">
        <v>239</v>
      </c>
      <c r="L116">
        <v>1368</v>
      </c>
      <c r="N116">
        <v>1011</v>
      </c>
      <c r="O116" t="s">
        <v>236</v>
      </c>
      <c r="P116" t="s">
        <v>236</v>
      </c>
      <c r="Q116">
        <v>1</v>
      </c>
      <c r="Y116">
        <v>0.04</v>
      </c>
      <c r="AA116">
        <v>0</v>
      </c>
      <c r="AB116">
        <v>87.17</v>
      </c>
      <c r="AC116">
        <v>11.6</v>
      </c>
      <c r="AD116">
        <v>0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0.04</v>
      </c>
      <c r="AV116">
        <v>0</v>
      </c>
      <c r="AW116">
        <v>2</v>
      </c>
      <c r="AX116">
        <v>27551620</v>
      </c>
      <c r="AY116">
        <v>1</v>
      </c>
      <c r="AZ116">
        <v>0</v>
      </c>
      <c r="BA116">
        <v>114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B116">
        <v>0</v>
      </c>
    </row>
    <row r="117" spans="1:80" ht="12.75">
      <c r="A117">
        <f>ROW(Source!A135)</f>
        <v>135</v>
      </c>
      <c r="B117">
        <v>27551608</v>
      </c>
      <c r="C117">
        <v>27551598</v>
      </c>
      <c r="D117">
        <v>24453737</v>
      </c>
      <c r="E117">
        <v>1</v>
      </c>
      <c r="F117">
        <v>1</v>
      </c>
      <c r="G117">
        <v>1</v>
      </c>
      <c r="H117">
        <v>3</v>
      </c>
      <c r="I117" t="s">
        <v>296</v>
      </c>
      <c r="J117" t="s">
        <v>297</v>
      </c>
      <c r="K117" t="s">
        <v>298</v>
      </c>
      <c r="L117">
        <v>1348</v>
      </c>
      <c r="N117">
        <v>1009</v>
      </c>
      <c r="O117" t="s">
        <v>87</v>
      </c>
      <c r="P117" t="s">
        <v>87</v>
      </c>
      <c r="Q117">
        <v>1000</v>
      </c>
      <c r="Y117">
        <v>0.0062</v>
      </c>
      <c r="AA117">
        <v>5989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0.0062</v>
      </c>
      <c r="AV117">
        <v>0</v>
      </c>
      <c r="AW117">
        <v>2</v>
      </c>
      <c r="AX117">
        <v>27551621</v>
      </c>
      <c r="AY117">
        <v>1</v>
      </c>
      <c r="AZ117">
        <v>0</v>
      </c>
      <c r="BA117">
        <v>115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B117">
        <v>0</v>
      </c>
    </row>
    <row r="118" spans="1:80" ht="12.75">
      <c r="A118">
        <f>ROW(Source!A135)</f>
        <v>135</v>
      </c>
      <c r="B118">
        <v>27551609</v>
      </c>
      <c r="C118">
        <v>27551598</v>
      </c>
      <c r="D118">
        <v>24454303</v>
      </c>
      <c r="E118">
        <v>1</v>
      </c>
      <c r="F118">
        <v>1</v>
      </c>
      <c r="G118">
        <v>1</v>
      </c>
      <c r="H118">
        <v>3</v>
      </c>
      <c r="I118" t="s">
        <v>299</v>
      </c>
      <c r="J118" t="s">
        <v>300</v>
      </c>
      <c r="K118" t="s">
        <v>301</v>
      </c>
      <c r="L118">
        <v>1348</v>
      </c>
      <c r="N118">
        <v>1009</v>
      </c>
      <c r="O118" t="s">
        <v>87</v>
      </c>
      <c r="P118" t="s">
        <v>87</v>
      </c>
      <c r="Q118">
        <v>1000</v>
      </c>
      <c r="Y118">
        <v>0.0108</v>
      </c>
      <c r="AA118">
        <v>1690.01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0.0108</v>
      </c>
      <c r="AV118">
        <v>0</v>
      </c>
      <c r="AW118">
        <v>2</v>
      </c>
      <c r="AX118">
        <v>27551622</v>
      </c>
      <c r="AY118">
        <v>1</v>
      </c>
      <c r="AZ118">
        <v>0</v>
      </c>
      <c r="BA118">
        <v>116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B118">
        <v>0</v>
      </c>
    </row>
    <row r="119" spans="1:80" ht="12.75">
      <c r="A119">
        <f>ROW(Source!A135)</f>
        <v>135</v>
      </c>
      <c r="B119">
        <v>27551610</v>
      </c>
      <c r="C119">
        <v>27551598</v>
      </c>
      <c r="D119">
        <v>24456400</v>
      </c>
      <c r="E119">
        <v>1</v>
      </c>
      <c r="F119">
        <v>1</v>
      </c>
      <c r="G119">
        <v>1</v>
      </c>
      <c r="H119">
        <v>3</v>
      </c>
      <c r="I119" t="s">
        <v>302</v>
      </c>
      <c r="J119" t="s">
        <v>303</v>
      </c>
      <c r="K119" t="s">
        <v>304</v>
      </c>
      <c r="L119">
        <v>1339</v>
      </c>
      <c r="N119">
        <v>1007</v>
      </c>
      <c r="O119" t="s">
        <v>99</v>
      </c>
      <c r="P119" t="s">
        <v>99</v>
      </c>
      <c r="Q119">
        <v>1</v>
      </c>
      <c r="Y119">
        <v>0.15</v>
      </c>
      <c r="AA119">
        <v>1287.01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0.15</v>
      </c>
      <c r="AV119">
        <v>0</v>
      </c>
      <c r="AW119">
        <v>2</v>
      </c>
      <c r="AX119">
        <v>27551623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B119">
        <v>0</v>
      </c>
    </row>
    <row r="120" spans="1:80" ht="12.75">
      <c r="A120">
        <f>ROW(Source!A135)</f>
        <v>135</v>
      </c>
      <c r="B120">
        <v>27551611</v>
      </c>
      <c r="C120">
        <v>27551598</v>
      </c>
      <c r="D120">
        <v>24472221</v>
      </c>
      <c r="E120">
        <v>1</v>
      </c>
      <c r="F120">
        <v>1</v>
      </c>
      <c r="G120">
        <v>1</v>
      </c>
      <c r="H120">
        <v>3</v>
      </c>
      <c r="I120" t="s">
        <v>305</v>
      </c>
      <c r="J120" t="s">
        <v>306</v>
      </c>
      <c r="K120" t="s">
        <v>307</v>
      </c>
      <c r="L120">
        <v>1348</v>
      </c>
      <c r="N120">
        <v>1009</v>
      </c>
      <c r="O120" t="s">
        <v>87</v>
      </c>
      <c r="P120" t="s">
        <v>87</v>
      </c>
      <c r="Q120">
        <v>1000</v>
      </c>
      <c r="Y120">
        <v>96.6</v>
      </c>
      <c r="AA120">
        <v>535.5</v>
      </c>
      <c r="AB120">
        <v>0</v>
      </c>
      <c r="AC120">
        <v>0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96.6</v>
      </c>
      <c r="AV120">
        <v>0</v>
      </c>
      <c r="AW120">
        <v>2</v>
      </c>
      <c r="AX120">
        <v>27551624</v>
      </c>
      <c r="AY120">
        <v>1</v>
      </c>
      <c r="AZ120">
        <v>0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B120">
        <v>0</v>
      </c>
    </row>
    <row r="121" spans="1:80" ht="12.75">
      <c r="A121">
        <f>ROW(Source!A136)</f>
        <v>136</v>
      </c>
      <c r="B121">
        <v>27551626</v>
      </c>
      <c r="C121">
        <v>27551625</v>
      </c>
      <c r="D121">
        <v>24506163</v>
      </c>
      <c r="E121">
        <v>1</v>
      </c>
      <c r="F121">
        <v>1</v>
      </c>
      <c r="G121">
        <v>1</v>
      </c>
      <c r="H121">
        <v>1</v>
      </c>
      <c r="I121" t="s">
        <v>282</v>
      </c>
      <c r="K121" t="s">
        <v>283</v>
      </c>
      <c r="L121">
        <v>1369</v>
      </c>
      <c r="N121">
        <v>1013</v>
      </c>
      <c r="O121" t="s">
        <v>228</v>
      </c>
      <c r="P121" t="s">
        <v>228</v>
      </c>
      <c r="Q121">
        <v>1</v>
      </c>
      <c r="Y121">
        <v>0.18</v>
      </c>
      <c r="AA121">
        <v>0</v>
      </c>
      <c r="AB121">
        <v>0</v>
      </c>
      <c r="AC121">
        <v>0</v>
      </c>
      <c r="AD121">
        <v>9.62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0.09</v>
      </c>
      <c r="AU121" t="s">
        <v>122</v>
      </c>
      <c r="AV121">
        <v>1</v>
      </c>
      <c r="AW121">
        <v>2</v>
      </c>
      <c r="AX121">
        <v>27551631</v>
      </c>
      <c r="AY121">
        <v>1</v>
      </c>
      <c r="AZ121">
        <v>0</v>
      </c>
      <c r="BA121">
        <v>119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B121">
        <v>0</v>
      </c>
    </row>
    <row r="122" spans="1:80" ht="12.75">
      <c r="A122">
        <f>ROW(Source!A136)</f>
        <v>136</v>
      </c>
      <c r="B122">
        <v>27551627</v>
      </c>
      <c r="C122">
        <v>27551625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28</v>
      </c>
      <c r="K122" t="s">
        <v>229</v>
      </c>
      <c r="L122">
        <v>608254</v>
      </c>
      <c r="N122">
        <v>1013</v>
      </c>
      <c r="O122" t="s">
        <v>230</v>
      </c>
      <c r="P122" t="s">
        <v>230</v>
      </c>
      <c r="Q122">
        <v>1</v>
      </c>
      <c r="Y122">
        <v>0</v>
      </c>
      <c r="AA122">
        <v>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</v>
      </c>
      <c r="AU122" t="s">
        <v>122</v>
      </c>
      <c r="AV122">
        <v>2</v>
      </c>
      <c r="AW122">
        <v>2</v>
      </c>
      <c r="AX122">
        <v>27551632</v>
      </c>
      <c r="AY122">
        <v>1</v>
      </c>
      <c r="AZ122">
        <v>0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B122">
        <v>0</v>
      </c>
    </row>
    <row r="123" spans="1:80" ht="12.75">
      <c r="A123">
        <f>ROW(Source!A136)</f>
        <v>136</v>
      </c>
      <c r="B123">
        <v>27551628</v>
      </c>
      <c r="C123">
        <v>27551625</v>
      </c>
      <c r="D123">
        <v>24451446</v>
      </c>
      <c r="E123">
        <v>1</v>
      </c>
      <c r="F123">
        <v>1</v>
      </c>
      <c r="G123">
        <v>1</v>
      </c>
      <c r="H123">
        <v>2</v>
      </c>
      <c r="I123" t="s">
        <v>284</v>
      </c>
      <c r="J123" t="s">
        <v>285</v>
      </c>
      <c r="K123" t="s">
        <v>286</v>
      </c>
      <c r="L123">
        <v>1368</v>
      </c>
      <c r="N123">
        <v>1011</v>
      </c>
      <c r="O123" t="s">
        <v>236</v>
      </c>
      <c r="P123" t="s">
        <v>236</v>
      </c>
      <c r="Q123">
        <v>1</v>
      </c>
      <c r="Y123">
        <v>0.36</v>
      </c>
      <c r="AA123">
        <v>0</v>
      </c>
      <c r="AB123">
        <v>17.2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0.18</v>
      </c>
      <c r="AU123" t="s">
        <v>122</v>
      </c>
      <c r="AV123">
        <v>0</v>
      </c>
      <c r="AW123">
        <v>2</v>
      </c>
      <c r="AX123">
        <v>27551633</v>
      </c>
      <c r="AY123">
        <v>1</v>
      </c>
      <c r="AZ123">
        <v>0</v>
      </c>
      <c r="BA123">
        <v>121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B123">
        <v>0</v>
      </c>
    </row>
    <row r="124" spans="1:80" ht="12.75">
      <c r="A124">
        <f>ROW(Source!A136)</f>
        <v>136</v>
      </c>
      <c r="B124">
        <v>27551629</v>
      </c>
      <c r="C124">
        <v>27551625</v>
      </c>
      <c r="D124">
        <v>24454303</v>
      </c>
      <c r="E124">
        <v>1</v>
      </c>
      <c r="F124">
        <v>1</v>
      </c>
      <c r="G124">
        <v>1</v>
      </c>
      <c r="H124">
        <v>3</v>
      </c>
      <c r="I124" t="s">
        <v>299</v>
      </c>
      <c r="J124" t="s">
        <v>300</v>
      </c>
      <c r="K124" t="s">
        <v>301</v>
      </c>
      <c r="L124">
        <v>1348</v>
      </c>
      <c r="N124">
        <v>1009</v>
      </c>
      <c r="O124" t="s">
        <v>87</v>
      </c>
      <c r="P124" t="s">
        <v>87</v>
      </c>
      <c r="Q124">
        <v>1000</v>
      </c>
      <c r="Y124">
        <v>0.0014</v>
      </c>
      <c r="AA124">
        <v>1690.01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0.0014</v>
      </c>
      <c r="AV124">
        <v>0</v>
      </c>
      <c r="AW124">
        <v>2</v>
      </c>
      <c r="AX124">
        <v>27551634</v>
      </c>
      <c r="AY124">
        <v>2</v>
      </c>
      <c r="AZ124">
        <v>4096</v>
      </c>
      <c r="BA124">
        <v>122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B124">
        <v>0</v>
      </c>
    </row>
    <row r="125" spans="1:80" ht="12.75">
      <c r="A125">
        <f>ROW(Source!A136)</f>
        <v>136</v>
      </c>
      <c r="B125">
        <v>27551630</v>
      </c>
      <c r="C125">
        <v>27551625</v>
      </c>
      <c r="D125">
        <v>24472221</v>
      </c>
      <c r="E125">
        <v>1</v>
      </c>
      <c r="F125">
        <v>1</v>
      </c>
      <c r="G125">
        <v>1</v>
      </c>
      <c r="H125">
        <v>3</v>
      </c>
      <c r="I125" t="s">
        <v>305</v>
      </c>
      <c r="J125" t="s">
        <v>306</v>
      </c>
      <c r="K125" t="s">
        <v>307</v>
      </c>
      <c r="L125">
        <v>1348</v>
      </c>
      <c r="N125">
        <v>1009</v>
      </c>
      <c r="O125" t="s">
        <v>87</v>
      </c>
      <c r="P125" t="s">
        <v>87</v>
      </c>
      <c r="Q125">
        <v>1000</v>
      </c>
      <c r="Y125">
        <v>12.1</v>
      </c>
      <c r="AA125">
        <v>535.5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12.1</v>
      </c>
      <c r="AV125">
        <v>0</v>
      </c>
      <c r="AW125">
        <v>2</v>
      </c>
      <c r="AX125">
        <v>27551635</v>
      </c>
      <c r="AY125">
        <v>2</v>
      </c>
      <c r="AZ125">
        <v>4096</v>
      </c>
      <c r="BA125">
        <v>123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B125">
        <v>0</v>
      </c>
    </row>
    <row r="126" spans="1:80" ht="12.75">
      <c r="A126">
        <f>ROW(Source!A158)</f>
        <v>158</v>
      </c>
      <c r="B126">
        <v>27551669</v>
      </c>
      <c r="C126">
        <v>27551668</v>
      </c>
      <c r="D126">
        <v>4923864</v>
      </c>
      <c r="E126">
        <v>1</v>
      </c>
      <c r="F126">
        <v>1</v>
      </c>
      <c r="G126">
        <v>1</v>
      </c>
      <c r="H126">
        <v>1</v>
      </c>
      <c r="I126" t="s">
        <v>252</v>
      </c>
      <c r="K126" t="s">
        <v>253</v>
      </c>
      <c r="L126">
        <v>1369</v>
      </c>
      <c r="N126">
        <v>1013</v>
      </c>
      <c r="O126" t="s">
        <v>228</v>
      </c>
      <c r="P126" t="s">
        <v>228</v>
      </c>
      <c r="Q126">
        <v>1</v>
      </c>
      <c r="Y126">
        <v>15.08</v>
      </c>
      <c r="AA126">
        <v>0</v>
      </c>
      <c r="AB126">
        <v>0</v>
      </c>
      <c r="AC126">
        <v>0</v>
      </c>
      <c r="AD126">
        <v>7.8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15.08</v>
      </c>
      <c r="AV126">
        <v>1</v>
      </c>
      <c r="AW126">
        <v>2</v>
      </c>
      <c r="AX126">
        <v>27551674</v>
      </c>
      <c r="AY126">
        <v>1</v>
      </c>
      <c r="AZ126">
        <v>0</v>
      </c>
      <c r="BA126">
        <v>124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B126">
        <v>0</v>
      </c>
    </row>
    <row r="127" spans="1:80" ht="12.75">
      <c r="A127">
        <f>ROW(Source!A158)</f>
        <v>158</v>
      </c>
      <c r="B127">
        <v>27551670</v>
      </c>
      <c r="C127">
        <v>27551668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28</v>
      </c>
      <c r="K127" t="s">
        <v>229</v>
      </c>
      <c r="L127">
        <v>608254</v>
      </c>
      <c r="N127">
        <v>1013</v>
      </c>
      <c r="O127" t="s">
        <v>230</v>
      </c>
      <c r="P127" t="s">
        <v>230</v>
      </c>
      <c r="Q127">
        <v>1</v>
      </c>
      <c r="Y127">
        <v>43.62</v>
      </c>
      <c r="AA127">
        <v>0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43.62</v>
      </c>
      <c r="AV127">
        <v>2</v>
      </c>
      <c r="AW127">
        <v>2</v>
      </c>
      <c r="AX127">
        <v>27551675</v>
      </c>
      <c r="AY127">
        <v>1</v>
      </c>
      <c r="AZ127">
        <v>0</v>
      </c>
      <c r="BA127">
        <v>125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B127">
        <v>0</v>
      </c>
    </row>
    <row r="128" spans="1:80" ht="12.75">
      <c r="A128">
        <f>ROW(Source!A158)</f>
        <v>158</v>
      </c>
      <c r="B128">
        <v>27551671</v>
      </c>
      <c r="C128">
        <v>27551668</v>
      </c>
      <c r="D128">
        <v>12108308</v>
      </c>
      <c r="E128">
        <v>1</v>
      </c>
      <c r="F128">
        <v>1</v>
      </c>
      <c r="G128">
        <v>1</v>
      </c>
      <c r="H128">
        <v>2</v>
      </c>
      <c r="I128" t="s">
        <v>254</v>
      </c>
      <c r="J128" t="s">
        <v>255</v>
      </c>
      <c r="K128" t="s">
        <v>256</v>
      </c>
      <c r="L128">
        <v>1368</v>
      </c>
      <c r="N128">
        <v>1011</v>
      </c>
      <c r="O128" t="s">
        <v>236</v>
      </c>
      <c r="P128" t="s">
        <v>236</v>
      </c>
      <c r="Q128">
        <v>1</v>
      </c>
      <c r="Y128">
        <v>33.28</v>
      </c>
      <c r="AA128">
        <v>0</v>
      </c>
      <c r="AB128">
        <v>100</v>
      </c>
      <c r="AC128">
        <v>13.5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33.28</v>
      </c>
      <c r="AV128">
        <v>0</v>
      </c>
      <c r="AW128">
        <v>2</v>
      </c>
      <c r="AX128">
        <v>27551676</v>
      </c>
      <c r="AY128">
        <v>1</v>
      </c>
      <c r="AZ128">
        <v>0</v>
      </c>
      <c r="BA128">
        <v>126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B128">
        <v>0</v>
      </c>
    </row>
    <row r="129" spans="1:80" ht="12.75">
      <c r="A129">
        <f>ROW(Source!A158)</f>
        <v>158</v>
      </c>
      <c r="B129">
        <v>27551672</v>
      </c>
      <c r="C129">
        <v>27551668</v>
      </c>
      <c r="D129">
        <v>12108430</v>
      </c>
      <c r="E129">
        <v>1</v>
      </c>
      <c r="F129">
        <v>1</v>
      </c>
      <c r="G129">
        <v>1</v>
      </c>
      <c r="H129">
        <v>2</v>
      </c>
      <c r="I129" t="s">
        <v>257</v>
      </c>
      <c r="J129" t="s">
        <v>258</v>
      </c>
      <c r="K129" t="s">
        <v>259</v>
      </c>
      <c r="L129">
        <v>1368</v>
      </c>
      <c r="N129">
        <v>1011</v>
      </c>
      <c r="O129" t="s">
        <v>236</v>
      </c>
      <c r="P129" t="s">
        <v>236</v>
      </c>
      <c r="Q129">
        <v>1</v>
      </c>
      <c r="Y129">
        <v>10.34</v>
      </c>
      <c r="AA129">
        <v>0</v>
      </c>
      <c r="AB129">
        <v>80</v>
      </c>
      <c r="AC129">
        <v>14.4</v>
      </c>
      <c r="AD129">
        <v>0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10.34</v>
      </c>
      <c r="AV129">
        <v>0</v>
      </c>
      <c r="AW129">
        <v>2</v>
      </c>
      <c r="AX129">
        <v>27551677</v>
      </c>
      <c r="AY129">
        <v>1</v>
      </c>
      <c r="AZ129">
        <v>0</v>
      </c>
      <c r="BA129">
        <v>127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B129">
        <v>0</v>
      </c>
    </row>
    <row r="130" spans="1:80" ht="12.75">
      <c r="A130">
        <f>ROW(Source!A158)</f>
        <v>158</v>
      </c>
      <c r="B130">
        <v>27551673</v>
      </c>
      <c r="C130">
        <v>27551668</v>
      </c>
      <c r="D130">
        <v>12042760</v>
      </c>
      <c r="E130">
        <v>1</v>
      </c>
      <c r="F130">
        <v>1</v>
      </c>
      <c r="G130">
        <v>1</v>
      </c>
      <c r="H130">
        <v>3</v>
      </c>
      <c r="I130" t="s">
        <v>260</v>
      </c>
      <c r="J130" t="s">
        <v>261</v>
      </c>
      <c r="K130" t="s">
        <v>262</v>
      </c>
      <c r="L130">
        <v>1339</v>
      </c>
      <c r="N130">
        <v>1007</v>
      </c>
      <c r="O130" t="s">
        <v>99</v>
      </c>
      <c r="P130" t="s">
        <v>99</v>
      </c>
      <c r="Q130">
        <v>1</v>
      </c>
      <c r="Y130">
        <v>0.04</v>
      </c>
      <c r="AA130">
        <v>108.4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0.04</v>
      </c>
      <c r="AV130">
        <v>0</v>
      </c>
      <c r="AW130">
        <v>2</v>
      </c>
      <c r="AX130">
        <v>27551678</v>
      </c>
      <c r="AY130">
        <v>1</v>
      </c>
      <c r="AZ130">
        <v>0</v>
      </c>
      <c r="BA130">
        <v>128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B130">
        <v>0</v>
      </c>
    </row>
    <row r="131" spans="1:80" ht="12.75">
      <c r="A131">
        <f>ROW(Source!A160)</f>
        <v>160</v>
      </c>
      <c r="B131">
        <v>27551680</v>
      </c>
      <c r="C131">
        <v>27551679</v>
      </c>
      <c r="D131">
        <v>24503104</v>
      </c>
      <c r="E131">
        <v>1</v>
      </c>
      <c r="F131">
        <v>1</v>
      </c>
      <c r="G131">
        <v>1</v>
      </c>
      <c r="H131">
        <v>1</v>
      </c>
      <c r="I131" t="s">
        <v>226</v>
      </c>
      <c r="K131" t="s">
        <v>227</v>
      </c>
      <c r="L131">
        <v>1369</v>
      </c>
      <c r="N131">
        <v>1013</v>
      </c>
      <c r="O131" t="s">
        <v>228</v>
      </c>
      <c r="P131" t="s">
        <v>228</v>
      </c>
      <c r="Q131">
        <v>1</v>
      </c>
      <c r="Y131">
        <v>15.72</v>
      </c>
      <c r="AA131">
        <v>0</v>
      </c>
      <c r="AB131">
        <v>0</v>
      </c>
      <c r="AC131">
        <v>0</v>
      </c>
      <c r="AD131">
        <v>8.02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15.72</v>
      </c>
      <c r="AV131">
        <v>1</v>
      </c>
      <c r="AW131">
        <v>2</v>
      </c>
      <c r="AX131">
        <v>27551687</v>
      </c>
      <c r="AY131">
        <v>1</v>
      </c>
      <c r="AZ131">
        <v>0</v>
      </c>
      <c r="BA131">
        <v>129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B131">
        <v>0</v>
      </c>
    </row>
    <row r="132" spans="1:80" ht="12.75">
      <c r="A132">
        <f>ROW(Source!A160)</f>
        <v>160</v>
      </c>
      <c r="B132">
        <v>27551681</v>
      </c>
      <c r="C132">
        <v>27551679</v>
      </c>
      <c r="D132">
        <v>121548</v>
      </c>
      <c r="E132">
        <v>1</v>
      </c>
      <c r="F132">
        <v>1</v>
      </c>
      <c r="G132">
        <v>1</v>
      </c>
      <c r="H132">
        <v>1</v>
      </c>
      <c r="I132" t="s">
        <v>28</v>
      </c>
      <c r="K132" t="s">
        <v>229</v>
      </c>
      <c r="L132">
        <v>608254</v>
      </c>
      <c r="N132">
        <v>1013</v>
      </c>
      <c r="O132" t="s">
        <v>230</v>
      </c>
      <c r="P132" t="s">
        <v>230</v>
      </c>
      <c r="Q132">
        <v>1</v>
      </c>
      <c r="Y132">
        <v>13.88</v>
      </c>
      <c r="AA132">
        <v>0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13.88</v>
      </c>
      <c r="AV132">
        <v>2</v>
      </c>
      <c r="AW132">
        <v>2</v>
      </c>
      <c r="AX132">
        <v>27551688</v>
      </c>
      <c r="AY132">
        <v>1</v>
      </c>
      <c r="AZ132">
        <v>0</v>
      </c>
      <c r="BA132">
        <v>130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B132">
        <v>0</v>
      </c>
    </row>
    <row r="133" spans="1:80" ht="12.75">
      <c r="A133">
        <f>ROW(Source!A160)</f>
        <v>160</v>
      </c>
      <c r="B133">
        <v>27551682</v>
      </c>
      <c r="C133">
        <v>27551679</v>
      </c>
      <c r="D133">
        <v>24450908</v>
      </c>
      <c r="E133">
        <v>1</v>
      </c>
      <c r="F133">
        <v>1</v>
      </c>
      <c r="G133">
        <v>1</v>
      </c>
      <c r="H133">
        <v>2</v>
      </c>
      <c r="I133" t="s">
        <v>263</v>
      </c>
      <c r="J133" t="s">
        <v>264</v>
      </c>
      <c r="K133" t="s">
        <v>265</v>
      </c>
      <c r="L133">
        <v>1368</v>
      </c>
      <c r="N133">
        <v>1011</v>
      </c>
      <c r="O133" t="s">
        <v>236</v>
      </c>
      <c r="P133" t="s">
        <v>236</v>
      </c>
      <c r="Q133">
        <v>1</v>
      </c>
      <c r="Y133">
        <v>4.29</v>
      </c>
      <c r="AA133">
        <v>0</v>
      </c>
      <c r="AB133">
        <v>99.89</v>
      </c>
      <c r="AC133">
        <v>10.06</v>
      </c>
      <c r="AD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4.29</v>
      </c>
      <c r="AV133">
        <v>0</v>
      </c>
      <c r="AW133">
        <v>2</v>
      </c>
      <c r="AX133">
        <v>27551689</v>
      </c>
      <c r="AY133">
        <v>1</v>
      </c>
      <c r="AZ133">
        <v>0</v>
      </c>
      <c r="BA133">
        <v>131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B133">
        <v>0</v>
      </c>
    </row>
    <row r="134" spans="1:80" ht="12.75">
      <c r="A134">
        <f>ROW(Source!A160)</f>
        <v>160</v>
      </c>
      <c r="B134">
        <v>27551683</v>
      </c>
      <c r="C134">
        <v>27551679</v>
      </c>
      <c r="D134">
        <v>24451440</v>
      </c>
      <c r="E134">
        <v>1</v>
      </c>
      <c r="F134">
        <v>1</v>
      </c>
      <c r="G134">
        <v>1</v>
      </c>
      <c r="H134">
        <v>2</v>
      </c>
      <c r="I134" t="s">
        <v>266</v>
      </c>
      <c r="J134" t="s">
        <v>267</v>
      </c>
      <c r="K134" t="s">
        <v>268</v>
      </c>
      <c r="L134">
        <v>1368</v>
      </c>
      <c r="N134">
        <v>1011</v>
      </c>
      <c r="O134" t="s">
        <v>236</v>
      </c>
      <c r="P134" t="s">
        <v>236</v>
      </c>
      <c r="Q134">
        <v>1</v>
      </c>
      <c r="Y134">
        <v>1.77</v>
      </c>
      <c r="AA134">
        <v>0</v>
      </c>
      <c r="AB134">
        <v>123</v>
      </c>
      <c r="AC134">
        <v>13.5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1.77</v>
      </c>
      <c r="AV134">
        <v>0</v>
      </c>
      <c r="AW134">
        <v>2</v>
      </c>
      <c r="AX134">
        <v>27551690</v>
      </c>
      <c r="AY134">
        <v>1</v>
      </c>
      <c r="AZ134">
        <v>0</v>
      </c>
      <c r="BA134">
        <v>132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B134">
        <v>0</v>
      </c>
    </row>
    <row r="135" spans="1:80" ht="12.75">
      <c r="A135">
        <f>ROW(Source!A160)</f>
        <v>160</v>
      </c>
      <c r="B135">
        <v>27551684</v>
      </c>
      <c r="C135">
        <v>27551679</v>
      </c>
      <c r="D135">
        <v>24451470</v>
      </c>
      <c r="E135">
        <v>1</v>
      </c>
      <c r="F135">
        <v>1</v>
      </c>
      <c r="G135">
        <v>1</v>
      </c>
      <c r="H135">
        <v>2</v>
      </c>
      <c r="I135" t="s">
        <v>269</v>
      </c>
      <c r="J135" t="s">
        <v>270</v>
      </c>
      <c r="K135" t="s">
        <v>271</v>
      </c>
      <c r="L135">
        <v>1368</v>
      </c>
      <c r="N135">
        <v>1011</v>
      </c>
      <c r="O135" t="s">
        <v>236</v>
      </c>
      <c r="P135" t="s">
        <v>236</v>
      </c>
      <c r="Q135">
        <v>1</v>
      </c>
      <c r="Y135">
        <v>7.08</v>
      </c>
      <c r="AA135">
        <v>0</v>
      </c>
      <c r="AB135">
        <v>206.01</v>
      </c>
      <c r="AC135">
        <v>14.4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7.08</v>
      </c>
      <c r="AV135">
        <v>0</v>
      </c>
      <c r="AW135">
        <v>2</v>
      </c>
      <c r="AX135">
        <v>27551691</v>
      </c>
      <c r="AY135">
        <v>1</v>
      </c>
      <c r="AZ135">
        <v>0</v>
      </c>
      <c r="BA135">
        <v>133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B135">
        <v>0</v>
      </c>
    </row>
    <row r="136" spans="1:80" ht="12.75">
      <c r="A136">
        <f>ROW(Source!A160)</f>
        <v>160</v>
      </c>
      <c r="B136">
        <v>27551685</v>
      </c>
      <c r="C136">
        <v>27551679</v>
      </c>
      <c r="D136">
        <v>24451524</v>
      </c>
      <c r="E136">
        <v>1</v>
      </c>
      <c r="F136">
        <v>1</v>
      </c>
      <c r="G136">
        <v>1</v>
      </c>
      <c r="H136">
        <v>2</v>
      </c>
      <c r="I136" t="s">
        <v>272</v>
      </c>
      <c r="J136" t="s">
        <v>273</v>
      </c>
      <c r="K136" t="s">
        <v>274</v>
      </c>
      <c r="L136">
        <v>1368</v>
      </c>
      <c r="N136">
        <v>1011</v>
      </c>
      <c r="O136" t="s">
        <v>236</v>
      </c>
      <c r="P136" t="s">
        <v>236</v>
      </c>
      <c r="Q136">
        <v>1</v>
      </c>
      <c r="Y136">
        <v>0.74</v>
      </c>
      <c r="AA136">
        <v>0</v>
      </c>
      <c r="AB136">
        <v>110</v>
      </c>
      <c r="AC136">
        <v>11.6</v>
      </c>
      <c r="AD136">
        <v>0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0.74</v>
      </c>
      <c r="AV136">
        <v>0</v>
      </c>
      <c r="AW136">
        <v>2</v>
      </c>
      <c r="AX136">
        <v>27551692</v>
      </c>
      <c r="AY136">
        <v>1</v>
      </c>
      <c r="AZ136">
        <v>0</v>
      </c>
      <c r="BA136">
        <v>134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B136">
        <v>0</v>
      </c>
    </row>
    <row r="137" spans="1:80" ht="12.75">
      <c r="A137">
        <f>ROW(Source!A160)</f>
        <v>160</v>
      </c>
      <c r="B137">
        <v>27551696</v>
      </c>
      <c r="C137">
        <v>27551679</v>
      </c>
      <c r="D137">
        <v>24472042</v>
      </c>
      <c r="E137">
        <v>1</v>
      </c>
      <c r="F137">
        <v>1</v>
      </c>
      <c r="G137">
        <v>1</v>
      </c>
      <c r="H137">
        <v>3</v>
      </c>
      <c r="I137" t="s">
        <v>97</v>
      </c>
      <c r="J137" t="s">
        <v>100</v>
      </c>
      <c r="K137" t="s">
        <v>98</v>
      </c>
      <c r="L137">
        <v>1339</v>
      </c>
      <c r="N137">
        <v>1007</v>
      </c>
      <c r="O137" t="s">
        <v>99</v>
      </c>
      <c r="P137" t="s">
        <v>99</v>
      </c>
      <c r="Q137">
        <v>1</v>
      </c>
      <c r="Y137">
        <v>110</v>
      </c>
      <c r="AA137">
        <v>55.26</v>
      </c>
      <c r="AB137">
        <v>0</v>
      </c>
      <c r="AC137">
        <v>0</v>
      </c>
      <c r="AD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T137">
        <v>110</v>
      </c>
      <c r="AV137">
        <v>0</v>
      </c>
      <c r="AW137">
        <v>1</v>
      </c>
      <c r="AX137">
        <v>-1</v>
      </c>
      <c r="AY137">
        <v>0</v>
      </c>
      <c r="AZ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B137">
        <v>0</v>
      </c>
    </row>
    <row r="138" spans="1:80" ht="12.75">
      <c r="A138">
        <f>ROW(Source!A160)</f>
        <v>160</v>
      </c>
      <c r="B138">
        <v>27551686</v>
      </c>
      <c r="C138">
        <v>27551679</v>
      </c>
      <c r="D138">
        <v>24472293</v>
      </c>
      <c r="E138">
        <v>1</v>
      </c>
      <c r="F138">
        <v>1</v>
      </c>
      <c r="G138">
        <v>1</v>
      </c>
      <c r="H138">
        <v>3</v>
      </c>
      <c r="I138" t="s">
        <v>275</v>
      </c>
      <c r="J138" t="s">
        <v>276</v>
      </c>
      <c r="K138" t="s">
        <v>277</v>
      </c>
      <c r="L138">
        <v>1339</v>
      </c>
      <c r="N138">
        <v>1007</v>
      </c>
      <c r="O138" t="s">
        <v>99</v>
      </c>
      <c r="P138" t="s">
        <v>99</v>
      </c>
      <c r="Q138">
        <v>1</v>
      </c>
      <c r="Y138">
        <v>5</v>
      </c>
      <c r="AA138">
        <v>2.44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5</v>
      </c>
      <c r="AV138">
        <v>0</v>
      </c>
      <c r="AW138">
        <v>2</v>
      </c>
      <c r="AX138">
        <v>27551694</v>
      </c>
      <c r="AY138">
        <v>1</v>
      </c>
      <c r="AZ138">
        <v>0</v>
      </c>
      <c r="BA138">
        <v>136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B138">
        <v>0</v>
      </c>
    </row>
    <row r="139" spans="1:80" ht="12.75">
      <c r="A139">
        <f>ROW(Source!A162)</f>
        <v>162</v>
      </c>
      <c r="B139">
        <v>27551698</v>
      </c>
      <c r="C139">
        <v>27551697</v>
      </c>
      <c r="D139">
        <v>24505038</v>
      </c>
      <c r="E139">
        <v>1</v>
      </c>
      <c r="F139">
        <v>1</v>
      </c>
      <c r="G139">
        <v>1</v>
      </c>
      <c r="H139">
        <v>1</v>
      </c>
      <c r="I139" t="s">
        <v>278</v>
      </c>
      <c r="K139" t="s">
        <v>279</v>
      </c>
      <c r="L139">
        <v>1369</v>
      </c>
      <c r="N139">
        <v>1013</v>
      </c>
      <c r="O139" t="s">
        <v>228</v>
      </c>
      <c r="P139" t="s">
        <v>228</v>
      </c>
      <c r="Q139">
        <v>1</v>
      </c>
      <c r="Y139">
        <v>24.19</v>
      </c>
      <c r="AA139">
        <v>0</v>
      </c>
      <c r="AB139">
        <v>0</v>
      </c>
      <c r="AC139">
        <v>0</v>
      </c>
      <c r="AD139">
        <v>8.09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24.19</v>
      </c>
      <c r="AV139">
        <v>1</v>
      </c>
      <c r="AW139">
        <v>2</v>
      </c>
      <c r="AX139">
        <v>27551706</v>
      </c>
      <c r="AY139">
        <v>1</v>
      </c>
      <c r="AZ139">
        <v>0</v>
      </c>
      <c r="BA139">
        <v>137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B139">
        <v>0</v>
      </c>
    </row>
    <row r="140" spans="1:80" ht="12.75">
      <c r="A140">
        <f>ROW(Source!A162)</f>
        <v>162</v>
      </c>
      <c r="B140">
        <v>27551699</v>
      </c>
      <c r="C140">
        <v>27551697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28</v>
      </c>
      <c r="K140" t="s">
        <v>229</v>
      </c>
      <c r="L140">
        <v>608254</v>
      </c>
      <c r="N140">
        <v>1013</v>
      </c>
      <c r="O140" t="s">
        <v>230</v>
      </c>
      <c r="P140" t="s">
        <v>230</v>
      </c>
      <c r="Q140">
        <v>1</v>
      </c>
      <c r="Y140">
        <v>20.6</v>
      </c>
      <c r="AA140">
        <v>0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20.6</v>
      </c>
      <c r="AV140">
        <v>2</v>
      </c>
      <c r="AW140">
        <v>2</v>
      </c>
      <c r="AX140">
        <v>27551707</v>
      </c>
      <c r="AY140">
        <v>1</v>
      </c>
      <c r="AZ140">
        <v>0</v>
      </c>
      <c r="BA140">
        <v>138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B140">
        <v>0</v>
      </c>
    </row>
    <row r="141" spans="1:80" ht="12.75">
      <c r="A141">
        <f>ROW(Source!A162)</f>
        <v>162</v>
      </c>
      <c r="B141">
        <v>27551700</v>
      </c>
      <c r="C141">
        <v>27551697</v>
      </c>
      <c r="D141">
        <v>24450908</v>
      </c>
      <c r="E141">
        <v>1</v>
      </c>
      <c r="F141">
        <v>1</v>
      </c>
      <c r="G141">
        <v>1</v>
      </c>
      <c r="H141">
        <v>2</v>
      </c>
      <c r="I141" t="s">
        <v>263</v>
      </c>
      <c r="J141" t="s">
        <v>264</v>
      </c>
      <c r="K141" t="s">
        <v>265</v>
      </c>
      <c r="L141">
        <v>1368</v>
      </c>
      <c r="N141">
        <v>1011</v>
      </c>
      <c r="O141" t="s">
        <v>236</v>
      </c>
      <c r="P141" t="s">
        <v>236</v>
      </c>
      <c r="Q141">
        <v>1</v>
      </c>
      <c r="Y141">
        <v>2.46</v>
      </c>
      <c r="AA141">
        <v>0</v>
      </c>
      <c r="AB141">
        <v>99.89</v>
      </c>
      <c r="AC141">
        <v>10.06</v>
      </c>
      <c r="AD141">
        <v>0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2.46</v>
      </c>
      <c r="AV141">
        <v>0</v>
      </c>
      <c r="AW141">
        <v>2</v>
      </c>
      <c r="AX141">
        <v>27551708</v>
      </c>
      <c r="AY141">
        <v>1</v>
      </c>
      <c r="AZ141">
        <v>0</v>
      </c>
      <c r="BA141">
        <v>139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B141">
        <v>0</v>
      </c>
    </row>
    <row r="142" spans="1:80" ht="12.75">
      <c r="A142">
        <f>ROW(Source!A162)</f>
        <v>162</v>
      </c>
      <c r="B142">
        <v>27551701</v>
      </c>
      <c r="C142">
        <v>27551697</v>
      </c>
      <c r="D142">
        <v>24451199</v>
      </c>
      <c r="E142">
        <v>1</v>
      </c>
      <c r="F142">
        <v>1</v>
      </c>
      <c r="G142">
        <v>1</v>
      </c>
      <c r="H142">
        <v>2</v>
      </c>
      <c r="I142" t="s">
        <v>257</v>
      </c>
      <c r="J142" t="s">
        <v>280</v>
      </c>
      <c r="K142" t="s">
        <v>281</v>
      </c>
      <c r="L142">
        <v>1368</v>
      </c>
      <c r="N142">
        <v>1011</v>
      </c>
      <c r="O142" t="s">
        <v>236</v>
      </c>
      <c r="P142" t="s">
        <v>236</v>
      </c>
      <c r="Q142">
        <v>1</v>
      </c>
      <c r="Y142">
        <v>2.59</v>
      </c>
      <c r="AA142">
        <v>0</v>
      </c>
      <c r="AB142">
        <v>80.01</v>
      </c>
      <c r="AC142">
        <v>14.4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2.59</v>
      </c>
      <c r="AV142">
        <v>0</v>
      </c>
      <c r="AW142">
        <v>2</v>
      </c>
      <c r="AX142">
        <v>27551709</v>
      </c>
      <c r="AY142">
        <v>1</v>
      </c>
      <c r="AZ142">
        <v>0</v>
      </c>
      <c r="BA142">
        <v>140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B142">
        <v>0</v>
      </c>
    </row>
    <row r="143" spans="1:80" ht="12.75">
      <c r="A143">
        <f>ROW(Source!A162)</f>
        <v>162</v>
      </c>
      <c r="B143">
        <v>27551702</v>
      </c>
      <c r="C143">
        <v>27551697</v>
      </c>
      <c r="D143">
        <v>24451440</v>
      </c>
      <c r="E143">
        <v>1</v>
      </c>
      <c r="F143">
        <v>1</v>
      </c>
      <c r="G143">
        <v>1</v>
      </c>
      <c r="H143">
        <v>2</v>
      </c>
      <c r="I143" t="s">
        <v>266</v>
      </c>
      <c r="J143" t="s">
        <v>267</v>
      </c>
      <c r="K143" t="s">
        <v>268</v>
      </c>
      <c r="L143">
        <v>1368</v>
      </c>
      <c r="N143">
        <v>1011</v>
      </c>
      <c r="O143" t="s">
        <v>236</v>
      </c>
      <c r="P143" t="s">
        <v>236</v>
      </c>
      <c r="Q143">
        <v>1</v>
      </c>
      <c r="Y143">
        <v>2.3</v>
      </c>
      <c r="AA143">
        <v>0</v>
      </c>
      <c r="AB143">
        <v>123</v>
      </c>
      <c r="AC143">
        <v>13.5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2.3</v>
      </c>
      <c r="AV143">
        <v>0</v>
      </c>
      <c r="AW143">
        <v>2</v>
      </c>
      <c r="AX143">
        <v>27551710</v>
      </c>
      <c r="AY143">
        <v>1</v>
      </c>
      <c r="AZ143">
        <v>0</v>
      </c>
      <c r="BA143">
        <v>141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B143">
        <v>0</v>
      </c>
    </row>
    <row r="144" spans="1:80" ht="12.75">
      <c r="A144">
        <f>ROW(Source!A162)</f>
        <v>162</v>
      </c>
      <c r="B144">
        <v>27551703</v>
      </c>
      <c r="C144">
        <v>27551697</v>
      </c>
      <c r="D144">
        <v>24451470</v>
      </c>
      <c r="E144">
        <v>1</v>
      </c>
      <c r="F144">
        <v>1</v>
      </c>
      <c r="G144">
        <v>1</v>
      </c>
      <c r="H144">
        <v>2</v>
      </c>
      <c r="I144" t="s">
        <v>269</v>
      </c>
      <c r="J144" t="s">
        <v>270</v>
      </c>
      <c r="K144" t="s">
        <v>271</v>
      </c>
      <c r="L144">
        <v>1368</v>
      </c>
      <c r="N144">
        <v>1011</v>
      </c>
      <c r="O144" t="s">
        <v>236</v>
      </c>
      <c r="P144" t="s">
        <v>236</v>
      </c>
      <c r="Q144">
        <v>1</v>
      </c>
      <c r="Y144">
        <v>12.21</v>
      </c>
      <c r="AA144">
        <v>0</v>
      </c>
      <c r="AB144">
        <v>206.01</v>
      </c>
      <c r="AC144">
        <v>14.4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12.21</v>
      </c>
      <c r="AV144">
        <v>0</v>
      </c>
      <c r="AW144">
        <v>2</v>
      </c>
      <c r="AX144">
        <v>27551711</v>
      </c>
      <c r="AY144">
        <v>1</v>
      </c>
      <c r="AZ144">
        <v>0</v>
      </c>
      <c r="BA144">
        <v>142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B144">
        <v>0</v>
      </c>
    </row>
    <row r="145" spans="1:80" ht="12.75">
      <c r="A145">
        <f>ROW(Source!A162)</f>
        <v>162</v>
      </c>
      <c r="B145">
        <v>27551704</v>
      </c>
      <c r="C145">
        <v>27551697</v>
      </c>
      <c r="D145">
        <v>24451524</v>
      </c>
      <c r="E145">
        <v>1</v>
      </c>
      <c r="F145">
        <v>1</v>
      </c>
      <c r="G145">
        <v>1</v>
      </c>
      <c r="H145">
        <v>2</v>
      </c>
      <c r="I145" t="s">
        <v>272</v>
      </c>
      <c r="J145" t="s">
        <v>273</v>
      </c>
      <c r="K145" t="s">
        <v>274</v>
      </c>
      <c r="L145">
        <v>1368</v>
      </c>
      <c r="N145">
        <v>1011</v>
      </c>
      <c r="O145" t="s">
        <v>236</v>
      </c>
      <c r="P145" t="s">
        <v>236</v>
      </c>
      <c r="Q145">
        <v>1</v>
      </c>
      <c r="Y145">
        <v>1.04</v>
      </c>
      <c r="AA145">
        <v>0</v>
      </c>
      <c r="AB145">
        <v>110</v>
      </c>
      <c r="AC145">
        <v>11.6</v>
      </c>
      <c r="AD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1.04</v>
      </c>
      <c r="AV145">
        <v>0</v>
      </c>
      <c r="AW145">
        <v>2</v>
      </c>
      <c r="AX145">
        <v>27551712</v>
      </c>
      <c r="AY145">
        <v>1</v>
      </c>
      <c r="AZ145">
        <v>0</v>
      </c>
      <c r="BA145">
        <v>143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B145">
        <v>0</v>
      </c>
    </row>
    <row r="146" spans="1:80" ht="12.75">
      <c r="A146">
        <f>ROW(Source!A162)</f>
        <v>162</v>
      </c>
      <c r="B146">
        <v>27551716</v>
      </c>
      <c r="C146">
        <v>27551697</v>
      </c>
      <c r="D146">
        <v>24472140</v>
      </c>
      <c r="E146">
        <v>1</v>
      </c>
      <c r="F146">
        <v>1</v>
      </c>
      <c r="G146">
        <v>1</v>
      </c>
      <c r="H146">
        <v>3</v>
      </c>
      <c r="I146" t="s">
        <v>106</v>
      </c>
      <c r="J146" t="s">
        <v>108</v>
      </c>
      <c r="K146" t="s">
        <v>107</v>
      </c>
      <c r="L146">
        <v>1339</v>
      </c>
      <c r="N146">
        <v>1007</v>
      </c>
      <c r="O146" t="s">
        <v>99</v>
      </c>
      <c r="P146" t="s">
        <v>99</v>
      </c>
      <c r="Q146">
        <v>1</v>
      </c>
      <c r="Y146">
        <v>125</v>
      </c>
      <c r="AA146">
        <v>98.6</v>
      </c>
      <c r="AB146">
        <v>0</v>
      </c>
      <c r="AC146">
        <v>0</v>
      </c>
      <c r="AD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T146">
        <v>125</v>
      </c>
      <c r="AV146">
        <v>0</v>
      </c>
      <c r="AW146">
        <v>1</v>
      </c>
      <c r="AX146">
        <v>-1</v>
      </c>
      <c r="AY146">
        <v>0</v>
      </c>
      <c r="AZ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B146">
        <v>0</v>
      </c>
    </row>
    <row r="147" spans="1:80" ht="12.75">
      <c r="A147">
        <f>ROW(Source!A162)</f>
        <v>162</v>
      </c>
      <c r="B147">
        <v>27551705</v>
      </c>
      <c r="C147">
        <v>27551697</v>
      </c>
      <c r="D147">
        <v>24472293</v>
      </c>
      <c r="E147">
        <v>1</v>
      </c>
      <c r="F147">
        <v>1</v>
      </c>
      <c r="G147">
        <v>1</v>
      </c>
      <c r="H147">
        <v>3</v>
      </c>
      <c r="I147" t="s">
        <v>275</v>
      </c>
      <c r="J147" t="s">
        <v>276</v>
      </c>
      <c r="K147" t="s">
        <v>277</v>
      </c>
      <c r="L147">
        <v>1339</v>
      </c>
      <c r="N147">
        <v>1007</v>
      </c>
      <c r="O147" t="s">
        <v>99</v>
      </c>
      <c r="P147" t="s">
        <v>99</v>
      </c>
      <c r="Q147">
        <v>1</v>
      </c>
      <c r="Y147">
        <v>7</v>
      </c>
      <c r="AA147">
        <v>2.44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7</v>
      </c>
      <c r="AV147">
        <v>0</v>
      </c>
      <c r="AW147">
        <v>2</v>
      </c>
      <c r="AX147">
        <v>27551714</v>
      </c>
      <c r="AY147">
        <v>1</v>
      </c>
      <c r="AZ147">
        <v>0</v>
      </c>
      <c r="BA147">
        <v>145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B147">
        <v>0</v>
      </c>
    </row>
    <row r="148" spans="1:80" ht="12.75">
      <c r="A148">
        <f>ROW(Source!A164)</f>
        <v>164</v>
      </c>
      <c r="B148">
        <v>27551747</v>
      </c>
      <c r="C148">
        <v>27551717</v>
      </c>
      <c r="D148">
        <v>24506163</v>
      </c>
      <c r="E148">
        <v>1</v>
      </c>
      <c r="F148">
        <v>1</v>
      </c>
      <c r="G148">
        <v>1</v>
      </c>
      <c r="H148">
        <v>1</v>
      </c>
      <c r="I148" t="s">
        <v>282</v>
      </c>
      <c r="K148" t="s">
        <v>283</v>
      </c>
      <c r="L148">
        <v>1369</v>
      </c>
      <c r="N148">
        <v>1013</v>
      </c>
      <c r="O148" t="s">
        <v>228</v>
      </c>
      <c r="P148" t="s">
        <v>228</v>
      </c>
      <c r="Q148">
        <v>1</v>
      </c>
      <c r="Y148">
        <v>38.3</v>
      </c>
      <c r="AA148">
        <v>0</v>
      </c>
      <c r="AB148">
        <v>0</v>
      </c>
      <c r="AC148">
        <v>0</v>
      </c>
      <c r="AD148">
        <v>9.62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38.3</v>
      </c>
      <c r="AV148">
        <v>1</v>
      </c>
      <c r="AW148">
        <v>2</v>
      </c>
      <c r="AX148">
        <v>27551747</v>
      </c>
      <c r="AY148">
        <v>1</v>
      </c>
      <c r="AZ148">
        <v>0</v>
      </c>
      <c r="BA148">
        <v>146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B148">
        <v>0</v>
      </c>
    </row>
    <row r="149" spans="1:80" ht="12.75">
      <c r="A149">
        <f>ROW(Source!A164)</f>
        <v>164</v>
      </c>
      <c r="B149">
        <v>27551748</v>
      </c>
      <c r="C149">
        <v>27551717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28</v>
      </c>
      <c r="K149" t="s">
        <v>229</v>
      </c>
      <c r="L149">
        <v>608254</v>
      </c>
      <c r="N149">
        <v>1013</v>
      </c>
      <c r="O149" t="s">
        <v>230</v>
      </c>
      <c r="P149" t="s">
        <v>230</v>
      </c>
      <c r="Q149">
        <v>1</v>
      </c>
      <c r="Y149">
        <v>19.08</v>
      </c>
      <c r="AA149">
        <v>0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19.08</v>
      </c>
      <c r="AV149">
        <v>2</v>
      </c>
      <c r="AW149">
        <v>2</v>
      </c>
      <c r="AX149">
        <v>27551748</v>
      </c>
      <c r="AY149">
        <v>1</v>
      </c>
      <c r="AZ149">
        <v>0</v>
      </c>
      <c r="BA149">
        <v>147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B149">
        <v>0</v>
      </c>
    </row>
    <row r="150" spans="1:80" ht="12.75">
      <c r="A150">
        <f>ROW(Source!A164)</f>
        <v>164</v>
      </c>
      <c r="B150">
        <v>27551749</v>
      </c>
      <c r="C150">
        <v>27551717</v>
      </c>
      <c r="D150">
        <v>24450839</v>
      </c>
      <c r="E150">
        <v>1</v>
      </c>
      <c r="F150">
        <v>1</v>
      </c>
      <c r="G150">
        <v>1</v>
      </c>
      <c r="H150">
        <v>2</v>
      </c>
      <c r="I150" t="s">
        <v>233</v>
      </c>
      <c r="J150" t="s">
        <v>234</v>
      </c>
      <c r="K150" t="s">
        <v>235</v>
      </c>
      <c r="L150">
        <v>1368</v>
      </c>
      <c r="N150">
        <v>1011</v>
      </c>
      <c r="O150" t="s">
        <v>236</v>
      </c>
      <c r="P150" t="s">
        <v>236</v>
      </c>
      <c r="Q150">
        <v>1</v>
      </c>
      <c r="Y150">
        <v>0.03</v>
      </c>
      <c r="AA150">
        <v>0</v>
      </c>
      <c r="AB150">
        <v>112</v>
      </c>
      <c r="AC150">
        <v>13.5</v>
      </c>
      <c r="AD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0.03</v>
      </c>
      <c r="AV150">
        <v>0</v>
      </c>
      <c r="AW150">
        <v>2</v>
      </c>
      <c r="AX150">
        <v>27551749</v>
      </c>
      <c r="AY150">
        <v>1</v>
      </c>
      <c r="AZ150">
        <v>0</v>
      </c>
      <c r="BA150">
        <v>148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B150">
        <v>0</v>
      </c>
    </row>
    <row r="151" spans="1:80" ht="12.75">
      <c r="A151">
        <f>ROW(Source!A164)</f>
        <v>164</v>
      </c>
      <c r="B151">
        <v>27551750</v>
      </c>
      <c r="C151">
        <v>27551717</v>
      </c>
      <c r="D151">
        <v>24451446</v>
      </c>
      <c r="E151">
        <v>1</v>
      </c>
      <c r="F151">
        <v>1</v>
      </c>
      <c r="G151">
        <v>1</v>
      </c>
      <c r="H151">
        <v>2</v>
      </c>
      <c r="I151" t="s">
        <v>284</v>
      </c>
      <c r="J151" t="s">
        <v>285</v>
      </c>
      <c r="K151" t="s">
        <v>286</v>
      </c>
      <c r="L151">
        <v>1368</v>
      </c>
      <c r="N151">
        <v>1011</v>
      </c>
      <c r="O151" t="s">
        <v>236</v>
      </c>
      <c r="P151" t="s">
        <v>236</v>
      </c>
      <c r="Q151">
        <v>1</v>
      </c>
      <c r="Y151">
        <v>1.4</v>
      </c>
      <c r="AA151">
        <v>0</v>
      </c>
      <c r="AB151">
        <v>17.2</v>
      </c>
      <c r="AC151">
        <v>0</v>
      </c>
      <c r="AD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1.4</v>
      </c>
      <c r="AV151">
        <v>0</v>
      </c>
      <c r="AW151">
        <v>2</v>
      </c>
      <c r="AX151">
        <v>27551750</v>
      </c>
      <c r="AY151">
        <v>1</v>
      </c>
      <c r="AZ151">
        <v>0</v>
      </c>
      <c r="BA151">
        <v>149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B151">
        <v>0</v>
      </c>
    </row>
    <row r="152" spans="1:80" ht="12.75">
      <c r="A152">
        <f>ROW(Source!A164)</f>
        <v>164</v>
      </c>
      <c r="B152">
        <v>27551751</v>
      </c>
      <c r="C152">
        <v>27551717</v>
      </c>
      <c r="D152">
        <v>24451465</v>
      </c>
      <c r="E152">
        <v>1</v>
      </c>
      <c r="F152">
        <v>1</v>
      </c>
      <c r="G152">
        <v>1</v>
      </c>
      <c r="H152">
        <v>2</v>
      </c>
      <c r="I152" t="s">
        <v>287</v>
      </c>
      <c r="J152" t="s">
        <v>288</v>
      </c>
      <c r="K152" t="s">
        <v>289</v>
      </c>
      <c r="L152">
        <v>1368</v>
      </c>
      <c r="N152">
        <v>1011</v>
      </c>
      <c r="O152" t="s">
        <v>236</v>
      </c>
      <c r="P152" t="s">
        <v>236</v>
      </c>
      <c r="Q152">
        <v>1</v>
      </c>
      <c r="Y152">
        <v>3.96</v>
      </c>
      <c r="AA152">
        <v>0</v>
      </c>
      <c r="AB152">
        <v>75</v>
      </c>
      <c r="AC152">
        <v>11.6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3.96</v>
      </c>
      <c r="AV152">
        <v>0</v>
      </c>
      <c r="AW152">
        <v>2</v>
      </c>
      <c r="AX152">
        <v>27551751</v>
      </c>
      <c r="AY152">
        <v>1</v>
      </c>
      <c r="AZ152">
        <v>0</v>
      </c>
      <c r="BA152">
        <v>150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B152">
        <v>0</v>
      </c>
    </row>
    <row r="153" spans="1:80" ht="12.75">
      <c r="A153">
        <f>ROW(Source!A164)</f>
        <v>164</v>
      </c>
      <c r="B153">
        <v>27551752</v>
      </c>
      <c r="C153">
        <v>27551717</v>
      </c>
      <c r="D153">
        <v>24451466</v>
      </c>
      <c r="E153">
        <v>1</v>
      </c>
      <c r="F153">
        <v>1</v>
      </c>
      <c r="G153">
        <v>1</v>
      </c>
      <c r="H153">
        <v>2</v>
      </c>
      <c r="I153" t="s">
        <v>290</v>
      </c>
      <c r="J153" t="s">
        <v>291</v>
      </c>
      <c r="K153" t="s">
        <v>292</v>
      </c>
      <c r="L153">
        <v>1368</v>
      </c>
      <c r="N153">
        <v>1011</v>
      </c>
      <c r="O153" t="s">
        <v>236</v>
      </c>
      <c r="P153" t="s">
        <v>236</v>
      </c>
      <c r="Q153">
        <v>1</v>
      </c>
      <c r="Y153">
        <v>11.51</v>
      </c>
      <c r="AA153">
        <v>0</v>
      </c>
      <c r="AB153">
        <v>121</v>
      </c>
      <c r="AC153">
        <v>14.4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11.51</v>
      </c>
      <c r="AV153">
        <v>0</v>
      </c>
      <c r="AW153">
        <v>2</v>
      </c>
      <c r="AX153">
        <v>27551752</v>
      </c>
      <c r="AY153">
        <v>1</v>
      </c>
      <c r="AZ153">
        <v>0</v>
      </c>
      <c r="BA153">
        <v>151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B153">
        <v>0</v>
      </c>
    </row>
    <row r="154" spans="1:80" ht="12.75">
      <c r="A154">
        <f>ROW(Source!A164)</f>
        <v>164</v>
      </c>
      <c r="B154">
        <v>27551753</v>
      </c>
      <c r="C154">
        <v>27551717</v>
      </c>
      <c r="D154">
        <v>24451524</v>
      </c>
      <c r="E154">
        <v>1</v>
      </c>
      <c r="F154">
        <v>1</v>
      </c>
      <c r="G154">
        <v>1</v>
      </c>
      <c r="H154">
        <v>2</v>
      </c>
      <c r="I154" t="s">
        <v>272</v>
      </c>
      <c r="J154" t="s">
        <v>273</v>
      </c>
      <c r="K154" t="s">
        <v>274</v>
      </c>
      <c r="L154">
        <v>1368</v>
      </c>
      <c r="N154">
        <v>1011</v>
      </c>
      <c r="O154" t="s">
        <v>236</v>
      </c>
      <c r="P154" t="s">
        <v>236</v>
      </c>
      <c r="Q154">
        <v>1</v>
      </c>
      <c r="Y154">
        <v>0.39</v>
      </c>
      <c r="AA154">
        <v>0</v>
      </c>
      <c r="AB154">
        <v>110</v>
      </c>
      <c r="AC154">
        <v>11.6</v>
      </c>
      <c r="AD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0.39</v>
      </c>
      <c r="AV154">
        <v>0</v>
      </c>
      <c r="AW154">
        <v>2</v>
      </c>
      <c r="AX154">
        <v>27551753</v>
      </c>
      <c r="AY154">
        <v>1</v>
      </c>
      <c r="AZ154">
        <v>0</v>
      </c>
      <c r="BA154">
        <v>152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B154">
        <v>0</v>
      </c>
    </row>
    <row r="155" spans="1:80" ht="12.75">
      <c r="A155">
        <f>ROW(Source!A164)</f>
        <v>164</v>
      </c>
      <c r="B155">
        <v>27551754</v>
      </c>
      <c r="C155">
        <v>27551717</v>
      </c>
      <c r="D155">
        <v>24451546</v>
      </c>
      <c r="E155">
        <v>1</v>
      </c>
      <c r="F155">
        <v>1</v>
      </c>
      <c r="G155">
        <v>1</v>
      </c>
      <c r="H155">
        <v>2</v>
      </c>
      <c r="I155" t="s">
        <v>293</v>
      </c>
      <c r="J155" t="s">
        <v>294</v>
      </c>
      <c r="K155" t="s">
        <v>295</v>
      </c>
      <c r="L155">
        <v>1368</v>
      </c>
      <c r="N155">
        <v>1011</v>
      </c>
      <c r="O155" t="s">
        <v>236</v>
      </c>
      <c r="P155" t="s">
        <v>236</v>
      </c>
      <c r="Q155">
        <v>1</v>
      </c>
      <c r="Y155">
        <v>3.19</v>
      </c>
      <c r="AA155">
        <v>0</v>
      </c>
      <c r="AB155">
        <v>195.2</v>
      </c>
      <c r="AC155">
        <v>14.4</v>
      </c>
      <c r="AD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3.19</v>
      </c>
      <c r="AV155">
        <v>0</v>
      </c>
      <c r="AW155">
        <v>2</v>
      </c>
      <c r="AX155">
        <v>27551754</v>
      </c>
      <c r="AY155">
        <v>1</v>
      </c>
      <c r="AZ155">
        <v>0</v>
      </c>
      <c r="BA155">
        <v>153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B155">
        <v>0</v>
      </c>
    </row>
    <row r="156" spans="1:80" ht="12.75">
      <c r="A156">
        <f>ROW(Source!A164)</f>
        <v>164</v>
      </c>
      <c r="B156">
        <v>27551755</v>
      </c>
      <c r="C156">
        <v>27551717</v>
      </c>
      <c r="D156">
        <v>24452575</v>
      </c>
      <c r="E156">
        <v>1</v>
      </c>
      <c r="F156">
        <v>1</v>
      </c>
      <c r="G156">
        <v>1</v>
      </c>
      <c r="H156">
        <v>2</v>
      </c>
      <c r="I156" t="s">
        <v>237</v>
      </c>
      <c r="J156" t="s">
        <v>238</v>
      </c>
      <c r="K156" t="s">
        <v>239</v>
      </c>
      <c r="L156">
        <v>1368</v>
      </c>
      <c r="N156">
        <v>1011</v>
      </c>
      <c r="O156" t="s">
        <v>236</v>
      </c>
      <c r="P156" t="s">
        <v>236</v>
      </c>
      <c r="Q156">
        <v>1</v>
      </c>
      <c r="Y156">
        <v>0.04</v>
      </c>
      <c r="AA156">
        <v>0</v>
      </c>
      <c r="AB156">
        <v>87.17</v>
      </c>
      <c r="AC156">
        <v>11.6</v>
      </c>
      <c r="AD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0.04</v>
      </c>
      <c r="AV156">
        <v>0</v>
      </c>
      <c r="AW156">
        <v>2</v>
      </c>
      <c r="AX156">
        <v>27551755</v>
      </c>
      <c r="AY156">
        <v>1</v>
      </c>
      <c r="AZ156">
        <v>0</v>
      </c>
      <c r="BA156">
        <v>154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B156">
        <v>0</v>
      </c>
    </row>
    <row r="157" spans="1:80" ht="12.75">
      <c r="A157">
        <f>ROW(Source!A164)</f>
        <v>164</v>
      </c>
      <c r="B157">
        <v>27551756</v>
      </c>
      <c r="C157">
        <v>27551717</v>
      </c>
      <c r="D157">
        <v>24453737</v>
      </c>
      <c r="E157">
        <v>1</v>
      </c>
      <c r="F157">
        <v>1</v>
      </c>
      <c r="G157">
        <v>1</v>
      </c>
      <c r="H157">
        <v>3</v>
      </c>
      <c r="I157" t="s">
        <v>296</v>
      </c>
      <c r="J157" t="s">
        <v>297</v>
      </c>
      <c r="K157" t="s">
        <v>298</v>
      </c>
      <c r="L157">
        <v>1348</v>
      </c>
      <c r="N157">
        <v>1009</v>
      </c>
      <c r="O157" t="s">
        <v>87</v>
      </c>
      <c r="P157" t="s">
        <v>87</v>
      </c>
      <c r="Q157">
        <v>1000</v>
      </c>
      <c r="Y157">
        <v>0.0062</v>
      </c>
      <c r="AA157">
        <v>5989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0.0062</v>
      </c>
      <c r="AV157">
        <v>0</v>
      </c>
      <c r="AW157">
        <v>2</v>
      </c>
      <c r="AX157">
        <v>27551756</v>
      </c>
      <c r="AY157">
        <v>1</v>
      </c>
      <c r="AZ157">
        <v>0</v>
      </c>
      <c r="BA157">
        <v>155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B157">
        <v>0</v>
      </c>
    </row>
    <row r="158" spans="1:80" ht="12.75">
      <c r="A158">
        <f>ROW(Source!A164)</f>
        <v>164</v>
      </c>
      <c r="B158">
        <v>27551757</v>
      </c>
      <c r="C158">
        <v>27551717</v>
      </c>
      <c r="D158">
        <v>24454303</v>
      </c>
      <c r="E158">
        <v>1</v>
      </c>
      <c r="F158">
        <v>1</v>
      </c>
      <c r="G158">
        <v>1</v>
      </c>
      <c r="H158">
        <v>3</v>
      </c>
      <c r="I158" t="s">
        <v>299</v>
      </c>
      <c r="J158" t="s">
        <v>300</v>
      </c>
      <c r="K158" t="s">
        <v>301</v>
      </c>
      <c r="L158">
        <v>1348</v>
      </c>
      <c r="N158">
        <v>1009</v>
      </c>
      <c r="O158" t="s">
        <v>87</v>
      </c>
      <c r="P158" t="s">
        <v>87</v>
      </c>
      <c r="Q158">
        <v>1000</v>
      </c>
      <c r="Y158">
        <v>0.0108</v>
      </c>
      <c r="AA158">
        <v>1690.01</v>
      </c>
      <c r="AB158">
        <v>0</v>
      </c>
      <c r="AC158">
        <v>0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0.0108</v>
      </c>
      <c r="AV158">
        <v>0</v>
      </c>
      <c r="AW158">
        <v>2</v>
      </c>
      <c r="AX158">
        <v>27551757</v>
      </c>
      <c r="AY158">
        <v>1</v>
      </c>
      <c r="AZ158">
        <v>0</v>
      </c>
      <c r="BA158">
        <v>156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B158">
        <v>0</v>
      </c>
    </row>
    <row r="159" spans="1:80" ht="12.75">
      <c r="A159">
        <f>ROW(Source!A164)</f>
        <v>164</v>
      </c>
      <c r="B159">
        <v>27551758</v>
      </c>
      <c r="C159">
        <v>27551717</v>
      </c>
      <c r="D159">
        <v>24456400</v>
      </c>
      <c r="E159">
        <v>1</v>
      </c>
      <c r="F159">
        <v>1</v>
      </c>
      <c r="G159">
        <v>1</v>
      </c>
      <c r="H159">
        <v>3</v>
      </c>
      <c r="I159" t="s">
        <v>302</v>
      </c>
      <c r="J159" t="s">
        <v>303</v>
      </c>
      <c r="K159" t="s">
        <v>304</v>
      </c>
      <c r="L159">
        <v>1339</v>
      </c>
      <c r="N159">
        <v>1007</v>
      </c>
      <c r="O159" t="s">
        <v>99</v>
      </c>
      <c r="P159" t="s">
        <v>99</v>
      </c>
      <c r="Q159">
        <v>1</v>
      </c>
      <c r="Y159">
        <v>0.15</v>
      </c>
      <c r="AA159">
        <v>1287.01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0.15</v>
      </c>
      <c r="AV159">
        <v>0</v>
      </c>
      <c r="AW159">
        <v>2</v>
      </c>
      <c r="AX159">
        <v>27551758</v>
      </c>
      <c r="AY159">
        <v>1</v>
      </c>
      <c r="AZ159">
        <v>0</v>
      </c>
      <c r="BA159">
        <v>157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B159">
        <v>0</v>
      </c>
    </row>
    <row r="160" spans="1:80" ht="12.75">
      <c r="A160">
        <f>ROW(Source!A164)</f>
        <v>164</v>
      </c>
      <c r="B160">
        <v>27551759</v>
      </c>
      <c r="C160">
        <v>27551717</v>
      </c>
      <c r="D160">
        <v>24472227</v>
      </c>
      <c r="E160">
        <v>1</v>
      </c>
      <c r="F160">
        <v>1</v>
      </c>
      <c r="G160">
        <v>1</v>
      </c>
      <c r="H160">
        <v>3</v>
      </c>
      <c r="I160" t="s">
        <v>308</v>
      </c>
      <c r="J160" t="s">
        <v>309</v>
      </c>
      <c r="K160" t="s">
        <v>310</v>
      </c>
      <c r="L160">
        <v>1348</v>
      </c>
      <c r="N160">
        <v>1009</v>
      </c>
      <c r="O160" t="s">
        <v>87</v>
      </c>
      <c r="P160" t="s">
        <v>87</v>
      </c>
      <c r="Q160">
        <v>1000</v>
      </c>
      <c r="Y160">
        <v>93.3</v>
      </c>
      <c r="AA160">
        <v>571.6</v>
      </c>
      <c r="AB160">
        <v>0</v>
      </c>
      <c r="AC160">
        <v>0</v>
      </c>
      <c r="AD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93.3</v>
      </c>
      <c r="AV160">
        <v>0</v>
      </c>
      <c r="AW160">
        <v>2</v>
      </c>
      <c r="AX160">
        <v>27551759</v>
      </c>
      <c r="AY160">
        <v>1</v>
      </c>
      <c r="AZ160">
        <v>0</v>
      </c>
      <c r="BA160">
        <v>158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B160">
        <v>0</v>
      </c>
    </row>
    <row r="161" spans="1:80" ht="12.75">
      <c r="A161">
        <f>ROW(Source!A186)</f>
        <v>186</v>
      </c>
      <c r="B161">
        <v>27552781</v>
      </c>
      <c r="C161">
        <v>27552780</v>
      </c>
      <c r="D161">
        <v>24502559</v>
      </c>
      <c r="E161">
        <v>1</v>
      </c>
      <c r="F161">
        <v>1</v>
      </c>
      <c r="G161">
        <v>1</v>
      </c>
      <c r="H161">
        <v>1</v>
      </c>
      <c r="I161" t="s">
        <v>311</v>
      </c>
      <c r="K161" t="s">
        <v>312</v>
      </c>
      <c r="L161">
        <v>1369</v>
      </c>
      <c r="N161">
        <v>1013</v>
      </c>
      <c r="O161" t="s">
        <v>228</v>
      </c>
      <c r="P161" t="s">
        <v>228</v>
      </c>
      <c r="Q161">
        <v>1</v>
      </c>
      <c r="Y161">
        <v>2.27</v>
      </c>
      <c r="AA161">
        <v>0</v>
      </c>
      <c r="AB161">
        <v>0</v>
      </c>
      <c r="AC161">
        <v>0</v>
      </c>
      <c r="AD161">
        <v>7.87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2.27</v>
      </c>
      <c r="AV161">
        <v>1</v>
      </c>
      <c r="AW161">
        <v>2</v>
      </c>
      <c r="AX161">
        <v>27552783</v>
      </c>
      <c r="AY161">
        <v>1</v>
      </c>
      <c r="AZ161">
        <v>0</v>
      </c>
      <c r="BA161">
        <v>159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B161">
        <v>0</v>
      </c>
    </row>
    <row r="162" spans="1:80" ht="12.75">
      <c r="A162">
        <f>ROW(Source!A186)</f>
        <v>186</v>
      </c>
      <c r="B162">
        <v>27552782</v>
      </c>
      <c r="C162">
        <v>27552780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28</v>
      </c>
      <c r="K162" t="s">
        <v>229</v>
      </c>
      <c r="L162">
        <v>608254</v>
      </c>
      <c r="N162">
        <v>1013</v>
      </c>
      <c r="O162" t="s">
        <v>230</v>
      </c>
      <c r="P162" t="s">
        <v>230</v>
      </c>
      <c r="Q162">
        <v>1</v>
      </c>
      <c r="Y162">
        <v>0</v>
      </c>
      <c r="AA162">
        <v>0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0</v>
      </c>
      <c r="AV162">
        <v>2</v>
      </c>
      <c r="AW162">
        <v>2</v>
      </c>
      <c r="AX162">
        <v>27552784</v>
      </c>
      <c r="AY162">
        <v>1</v>
      </c>
      <c r="AZ162">
        <v>0</v>
      </c>
      <c r="BA162">
        <v>160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B162">
        <v>0</v>
      </c>
    </row>
    <row r="163" spans="1:80" ht="12.75">
      <c r="A163">
        <f>ROW(Source!A187)</f>
        <v>187</v>
      </c>
      <c r="B163">
        <v>27552786</v>
      </c>
      <c r="C163">
        <v>27552785</v>
      </c>
      <c r="D163">
        <v>24505217</v>
      </c>
      <c r="E163">
        <v>1</v>
      </c>
      <c r="F163">
        <v>1</v>
      </c>
      <c r="G163">
        <v>1</v>
      </c>
      <c r="H163">
        <v>1</v>
      </c>
      <c r="I163" t="s">
        <v>313</v>
      </c>
      <c r="K163" t="s">
        <v>314</v>
      </c>
      <c r="L163">
        <v>1369</v>
      </c>
      <c r="N163">
        <v>1013</v>
      </c>
      <c r="O163" t="s">
        <v>228</v>
      </c>
      <c r="P163" t="s">
        <v>228</v>
      </c>
      <c r="Q163">
        <v>1</v>
      </c>
      <c r="Y163">
        <v>547.56</v>
      </c>
      <c r="AA163">
        <v>0</v>
      </c>
      <c r="AB163">
        <v>0</v>
      </c>
      <c r="AC163">
        <v>0</v>
      </c>
      <c r="AD163">
        <v>8.97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547.56</v>
      </c>
      <c r="AV163">
        <v>1</v>
      </c>
      <c r="AW163">
        <v>2</v>
      </c>
      <c r="AX163">
        <v>27552794</v>
      </c>
      <c r="AY163">
        <v>1</v>
      </c>
      <c r="AZ163">
        <v>0</v>
      </c>
      <c r="BA163">
        <v>161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B163">
        <v>0</v>
      </c>
    </row>
    <row r="164" spans="1:80" ht="12.75">
      <c r="A164">
        <f>ROW(Source!A187)</f>
        <v>187</v>
      </c>
      <c r="B164">
        <v>27552787</v>
      </c>
      <c r="C164">
        <v>27552785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229</v>
      </c>
      <c r="L164">
        <v>608254</v>
      </c>
      <c r="N164">
        <v>1013</v>
      </c>
      <c r="O164" t="s">
        <v>230</v>
      </c>
      <c r="P164" t="s">
        <v>230</v>
      </c>
      <c r="Q164">
        <v>1</v>
      </c>
      <c r="Y164">
        <v>167.76</v>
      </c>
      <c r="AA164">
        <v>0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167.76</v>
      </c>
      <c r="AV164">
        <v>2</v>
      </c>
      <c r="AW164">
        <v>2</v>
      </c>
      <c r="AX164">
        <v>27552795</v>
      </c>
      <c r="AY164">
        <v>1</v>
      </c>
      <c r="AZ164">
        <v>0</v>
      </c>
      <c r="BA164">
        <v>162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B164">
        <v>0</v>
      </c>
    </row>
    <row r="165" spans="1:80" ht="12.75">
      <c r="A165">
        <f>ROW(Source!A187)</f>
        <v>187</v>
      </c>
      <c r="B165">
        <v>27552788</v>
      </c>
      <c r="C165">
        <v>27552785</v>
      </c>
      <c r="D165">
        <v>24450841</v>
      </c>
      <c r="E165">
        <v>1</v>
      </c>
      <c r="F165">
        <v>1</v>
      </c>
      <c r="G165">
        <v>1</v>
      </c>
      <c r="H165">
        <v>2</v>
      </c>
      <c r="I165" t="s">
        <v>315</v>
      </c>
      <c r="J165" t="s">
        <v>316</v>
      </c>
      <c r="K165" t="s">
        <v>317</v>
      </c>
      <c r="L165">
        <v>1368</v>
      </c>
      <c r="N165">
        <v>1011</v>
      </c>
      <c r="O165" t="s">
        <v>236</v>
      </c>
      <c r="P165" t="s">
        <v>236</v>
      </c>
      <c r="Q165">
        <v>1</v>
      </c>
      <c r="Y165">
        <v>57.66</v>
      </c>
      <c r="AA165">
        <v>0</v>
      </c>
      <c r="AB165">
        <v>163.49</v>
      </c>
      <c r="AC165">
        <v>13.5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57.66</v>
      </c>
      <c r="AV165">
        <v>0</v>
      </c>
      <c r="AW165">
        <v>2</v>
      </c>
      <c r="AX165">
        <v>27552796</v>
      </c>
      <c r="AY165">
        <v>1</v>
      </c>
      <c r="AZ165">
        <v>0</v>
      </c>
      <c r="BA165">
        <v>163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B165">
        <v>0</v>
      </c>
    </row>
    <row r="166" spans="1:80" ht="12.75">
      <c r="A166">
        <f>ROW(Source!A187)</f>
        <v>187</v>
      </c>
      <c r="B166">
        <v>27552789</v>
      </c>
      <c r="C166">
        <v>27552785</v>
      </c>
      <c r="D166">
        <v>24450860</v>
      </c>
      <c r="E166">
        <v>1</v>
      </c>
      <c r="F166">
        <v>1</v>
      </c>
      <c r="G166">
        <v>1</v>
      </c>
      <c r="H166">
        <v>2</v>
      </c>
      <c r="I166" t="s">
        <v>318</v>
      </c>
      <c r="J166" t="s">
        <v>319</v>
      </c>
      <c r="K166" t="s">
        <v>320</v>
      </c>
      <c r="L166">
        <v>1368</v>
      </c>
      <c r="N166">
        <v>1011</v>
      </c>
      <c r="O166" t="s">
        <v>236</v>
      </c>
      <c r="P166" t="s">
        <v>236</v>
      </c>
      <c r="Q166">
        <v>1</v>
      </c>
      <c r="Y166">
        <v>110.1</v>
      </c>
      <c r="AA166">
        <v>0</v>
      </c>
      <c r="AB166">
        <v>96.9</v>
      </c>
      <c r="AC166">
        <v>13.5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110.1</v>
      </c>
      <c r="AV166">
        <v>0</v>
      </c>
      <c r="AW166">
        <v>2</v>
      </c>
      <c r="AX166">
        <v>27552797</v>
      </c>
      <c r="AY166">
        <v>1</v>
      </c>
      <c r="AZ166">
        <v>0</v>
      </c>
      <c r="BA166">
        <v>164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B166">
        <v>0</v>
      </c>
    </row>
    <row r="167" spans="1:80" ht="12.75">
      <c r="A167">
        <f>ROW(Source!A187)</f>
        <v>187</v>
      </c>
      <c r="B167">
        <v>27552790</v>
      </c>
      <c r="C167">
        <v>27552785</v>
      </c>
      <c r="D167">
        <v>24452575</v>
      </c>
      <c r="E167">
        <v>1</v>
      </c>
      <c r="F167">
        <v>1</v>
      </c>
      <c r="G167">
        <v>1</v>
      </c>
      <c r="H167">
        <v>2</v>
      </c>
      <c r="I167" t="s">
        <v>237</v>
      </c>
      <c r="J167" t="s">
        <v>238</v>
      </c>
      <c r="K167" t="s">
        <v>239</v>
      </c>
      <c r="L167">
        <v>1368</v>
      </c>
      <c r="N167">
        <v>1011</v>
      </c>
      <c r="O167" t="s">
        <v>236</v>
      </c>
      <c r="P167" t="s">
        <v>236</v>
      </c>
      <c r="Q167">
        <v>1</v>
      </c>
      <c r="Y167">
        <v>42.35</v>
      </c>
      <c r="AA167">
        <v>0</v>
      </c>
      <c r="AB167">
        <v>87.17</v>
      </c>
      <c r="AC167">
        <v>11.6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42.35</v>
      </c>
      <c r="AV167">
        <v>0</v>
      </c>
      <c r="AW167">
        <v>2</v>
      </c>
      <c r="AX167">
        <v>27552798</v>
      </c>
      <c r="AY167">
        <v>1</v>
      </c>
      <c r="AZ167">
        <v>0</v>
      </c>
      <c r="BA167">
        <v>165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B167">
        <v>0</v>
      </c>
    </row>
    <row r="168" spans="1:80" ht="12.75">
      <c r="A168">
        <f>ROW(Source!A187)</f>
        <v>187</v>
      </c>
      <c r="B168">
        <v>27552791</v>
      </c>
      <c r="C168">
        <v>27552785</v>
      </c>
      <c r="D168">
        <v>24453737</v>
      </c>
      <c r="E168">
        <v>1</v>
      </c>
      <c r="F168">
        <v>1</v>
      </c>
      <c r="G168">
        <v>1</v>
      </c>
      <c r="H168">
        <v>3</v>
      </c>
      <c r="I168" t="s">
        <v>296</v>
      </c>
      <c r="J168" t="s">
        <v>297</v>
      </c>
      <c r="K168" t="s">
        <v>298</v>
      </c>
      <c r="L168">
        <v>1348</v>
      </c>
      <c r="N168">
        <v>1009</v>
      </c>
      <c r="O168" t="s">
        <v>87</v>
      </c>
      <c r="P168" t="s">
        <v>87</v>
      </c>
      <c r="Q168">
        <v>1000</v>
      </c>
      <c r="Y168">
        <v>0.07</v>
      </c>
      <c r="AA168">
        <v>5989</v>
      </c>
      <c r="AB168">
        <v>0</v>
      </c>
      <c r="AC168">
        <v>0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0.07</v>
      </c>
      <c r="AV168">
        <v>0</v>
      </c>
      <c r="AW168">
        <v>2</v>
      </c>
      <c r="AX168">
        <v>27552799</v>
      </c>
      <c r="AY168">
        <v>1</v>
      </c>
      <c r="AZ168">
        <v>0</v>
      </c>
      <c r="BA168">
        <v>166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B168">
        <v>0</v>
      </c>
    </row>
    <row r="169" spans="1:80" ht="12.75">
      <c r="A169">
        <f>ROW(Source!A187)</f>
        <v>187</v>
      </c>
      <c r="B169">
        <v>27552792</v>
      </c>
      <c r="C169">
        <v>27552785</v>
      </c>
      <c r="D169">
        <v>24468225</v>
      </c>
      <c r="E169">
        <v>1</v>
      </c>
      <c r="F169">
        <v>1</v>
      </c>
      <c r="G169">
        <v>1</v>
      </c>
      <c r="H169">
        <v>3</v>
      </c>
      <c r="I169" t="s">
        <v>249</v>
      </c>
      <c r="J169" t="s">
        <v>250</v>
      </c>
      <c r="K169" t="s">
        <v>251</v>
      </c>
      <c r="L169">
        <v>1339</v>
      </c>
      <c r="N169">
        <v>1007</v>
      </c>
      <c r="O169" t="s">
        <v>99</v>
      </c>
      <c r="P169" t="s">
        <v>99</v>
      </c>
      <c r="Q169">
        <v>1</v>
      </c>
      <c r="Y169">
        <v>1.8</v>
      </c>
      <c r="AA169">
        <v>519.8</v>
      </c>
      <c r="AB169">
        <v>0</v>
      </c>
      <c r="AC169">
        <v>0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1.8</v>
      </c>
      <c r="AV169">
        <v>0</v>
      </c>
      <c r="AW169">
        <v>2</v>
      </c>
      <c r="AX169">
        <v>27552800</v>
      </c>
      <c r="AY169">
        <v>1</v>
      </c>
      <c r="AZ169">
        <v>0</v>
      </c>
      <c r="BA169">
        <v>167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B169">
        <v>0</v>
      </c>
    </row>
    <row r="170" spans="1:80" ht="12.75">
      <c r="A170">
        <f>ROW(Source!A187)</f>
        <v>187</v>
      </c>
      <c r="B170">
        <v>27552803</v>
      </c>
      <c r="C170">
        <v>27552785</v>
      </c>
      <c r="D170">
        <v>24468493</v>
      </c>
      <c r="E170">
        <v>1</v>
      </c>
      <c r="F170">
        <v>1</v>
      </c>
      <c r="G170">
        <v>1</v>
      </c>
      <c r="H170">
        <v>3</v>
      </c>
      <c r="I170" t="s">
        <v>162</v>
      </c>
      <c r="J170" t="s">
        <v>164</v>
      </c>
      <c r="K170" t="s">
        <v>163</v>
      </c>
      <c r="L170">
        <v>1301</v>
      </c>
      <c r="N170">
        <v>1003</v>
      </c>
      <c r="O170" t="s">
        <v>41</v>
      </c>
      <c r="P170" t="s">
        <v>41</v>
      </c>
      <c r="Q170">
        <v>1</v>
      </c>
      <c r="Y170">
        <v>480.769231</v>
      </c>
      <c r="AA170">
        <v>375.59</v>
      </c>
      <c r="AB170">
        <v>0</v>
      </c>
      <c r="AC170">
        <v>0</v>
      </c>
      <c r="AD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T170">
        <v>480.769231</v>
      </c>
      <c r="AV170">
        <v>0</v>
      </c>
      <c r="AW170">
        <v>1</v>
      </c>
      <c r="AX170">
        <v>-1</v>
      </c>
      <c r="AY170">
        <v>0</v>
      </c>
      <c r="AZ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B170">
        <v>0</v>
      </c>
    </row>
    <row r="171" spans="1:80" ht="12.75">
      <c r="A171">
        <f>ROW(Source!A187)</f>
        <v>187</v>
      </c>
      <c r="B171">
        <v>27552793</v>
      </c>
      <c r="C171">
        <v>27552785</v>
      </c>
      <c r="D171">
        <v>24471522</v>
      </c>
      <c r="E171">
        <v>1</v>
      </c>
      <c r="F171">
        <v>1</v>
      </c>
      <c r="G171">
        <v>1</v>
      </c>
      <c r="H171">
        <v>3</v>
      </c>
      <c r="I171" t="s">
        <v>321</v>
      </c>
      <c r="J171" t="s">
        <v>322</v>
      </c>
      <c r="K171" t="s">
        <v>323</v>
      </c>
      <c r="L171">
        <v>1339</v>
      </c>
      <c r="N171">
        <v>1007</v>
      </c>
      <c r="O171" t="s">
        <v>99</v>
      </c>
      <c r="P171" t="s">
        <v>99</v>
      </c>
      <c r="Q171">
        <v>1</v>
      </c>
      <c r="Y171">
        <v>100</v>
      </c>
      <c r="AA171">
        <v>0</v>
      </c>
      <c r="AB171">
        <v>0</v>
      </c>
      <c r="AC171">
        <v>0</v>
      </c>
      <c r="AD171">
        <v>0</v>
      </c>
      <c r="AN171">
        <v>1</v>
      </c>
      <c r="AO171">
        <v>0</v>
      </c>
      <c r="AP171">
        <v>0</v>
      </c>
      <c r="AQ171">
        <v>0</v>
      </c>
      <c r="AR171">
        <v>0</v>
      </c>
      <c r="AT171">
        <v>100</v>
      </c>
      <c r="AV171">
        <v>0</v>
      </c>
      <c r="AW171">
        <v>2</v>
      </c>
      <c r="AX171">
        <v>27552801</v>
      </c>
      <c r="AY171">
        <v>1</v>
      </c>
      <c r="AZ171">
        <v>0</v>
      </c>
      <c r="BA171">
        <v>168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B171">
        <v>0</v>
      </c>
    </row>
    <row r="172" spans="1:80" ht="12.75">
      <c r="A172">
        <f>ROW(Source!A189)</f>
        <v>189</v>
      </c>
      <c r="B172">
        <v>27552805</v>
      </c>
      <c r="C172">
        <v>27552804</v>
      </c>
      <c r="D172">
        <v>24504707</v>
      </c>
      <c r="E172">
        <v>1</v>
      </c>
      <c r="F172">
        <v>1</v>
      </c>
      <c r="G172">
        <v>1</v>
      </c>
      <c r="H172">
        <v>1</v>
      </c>
      <c r="I172" t="s">
        <v>324</v>
      </c>
      <c r="K172" t="s">
        <v>325</v>
      </c>
      <c r="L172">
        <v>1369</v>
      </c>
      <c r="N172">
        <v>1013</v>
      </c>
      <c r="O172" t="s">
        <v>228</v>
      </c>
      <c r="P172" t="s">
        <v>228</v>
      </c>
      <c r="Q172">
        <v>1</v>
      </c>
      <c r="Y172">
        <v>1.31</v>
      </c>
      <c r="AA172">
        <v>0</v>
      </c>
      <c r="AB172">
        <v>0</v>
      </c>
      <c r="AC172">
        <v>0</v>
      </c>
      <c r="AD172">
        <v>8.64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1.31</v>
      </c>
      <c r="AV172">
        <v>1</v>
      </c>
      <c r="AW172">
        <v>2</v>
      </c>
      <c r="AX172">
        <v>27552809</v>
      </c>
      <c r="AY172">
        <v>1</v>
      </c>
      <c r="AZ172">
        <v>0</v>
      </c>
      <c r="BA172">
        <v>169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B172">
        <v>0</v>
      </c>
    </row>
    <row r="173" spans="1:80" ht="12.75">
      <c r="A173">
        <f>ROW(Source!A189)</f>
        <v>189</v>
      </c>
      <c r="B173">
        <v>27552806</v>
      </c>
      <c r="C173">
        <v>27552804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28</v>
      </c>
      <c r="K173" t="s">
        <v>229</v>
      </c>
      <c r="L173">
        <v>608254</v>
      </c>
      <c r="N173">
        <v>1013</v>
      </c>
      <c r="O173" t="s">
        <v>230</v>
      </c>
      <c r="P173" t="s">
        <v>230</v>
      </c>
      <c r="Q173">
        <v>1</v>
      </c>
      <c r="Y173">
        <v>0</v>
      </c>
      <c r="AA173">
        <v>0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</v>
      </c>
      <c r="AV173">
        <v>2</v>
      </c>
      <c r="AW173">
        <v>2</v>
      </c>
      <c r="AX173">
        <v>27552810</v>
      </c>
      <c r="AY173">
        <v>1</v>
      </c>
      <c r="AZ173">
        <v>0</v>
      </c>
      <c r="BA173">
        <v>170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B173">
        <v>0</v>
      </c>
    </row>
    <row r="174" spans="1:80" ht="12.75">
      <c r="A174">
        <f>ROW(Source!A189)</f>
        <v>189</v>
      </c>
      <c r="B174">
        <v>27552807</v>
      </c>
      <c r="C174">
        <v>27552804</v>
      </c>
      <c r="D174">
        <v>24452575</v>
      </c>
      <c r="E174">
        <v>1</v>
      </c>
      <c r="F174">
        <v>1</v>
      </c>
      <c r="G174">
        <v>1</v>
      </c>
      <c r="H174">
        <v>2</v>
      </c>
      <c r="I174" t="s">
        <v>237</v>
      </c>
      <c r="J174" t="s">
        <v>238</v>
      </c>
      <c r="K174" t="s">
        <v>239</v>
      </c>
      <c r="L174">
        <v>1368</v>
      </c>
      <c r="N174">
        <v>1011</v>
      </c>
      <c r="O174" t="s">
        <v>236</v>
      </c>
      <c r="P174" t="s">
        <v>236</v>
      </c>
      <c r="Q174">
        <v>1</v>
      </c>
      <c r="Y174">
        <v>0.07</v>
      </c>
      <c r="AA174">
        <v>0</v>
      </c>
      <c r="AB174">
        <v>87.17</v>
      </c>
      <c r="AC174">
        <v>11.6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0.07</v>
      </c>
      <c r="AV174">
        <v>0</v>
      </c>
      <c r="AW174">
        <v>2</v>
      </c>
      <c r="AX174">
        <v>27552811</v>
      </c>
      <c r="AY174">
        <v>1</v>
      </c>
      <c r="AZ174">
        <v>0</v>
      </c>
      <c r="BA174">
        <v>171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B174">
        <v>0</v>
      </c>
    </row>
    <row r="175" spans="1:80" ht="12.75">
      <c r="A175">
        <f>ROW(Source!A189)</f>
        <v>189</v>
      </c>
      <c r="B175">
        <v>27552815</v>
      </c>
      <c r="C175">
        <v>27552804</v>
      </c>
      <c r="D175">
        <v>24455153</v>
      </c>
      <c r="E175">
        <v>1</v>
      </c>
      <c r="F175">
        <v>1</v>
      </c>
      <c r="G175">
        <v>1</v>
      </c>
      <c r="H175">
        <v>3</v>
      </c>
      <c r="I175" t="s">
        <v>172</v>
      </c>
      <c r="J175" t="s">
        <v>174</v>
      </c>
      <c r="K175" t="s">
        <v>173</v>
      </c>
      <c r="L175">
        <v>1354</v>
      </c>
      <c r="N175">
        <v>1010</v>
      </c>
      <c r="O175" t="s">
        <v>36</v>
      </c>
      <c r="P175" t="s">
        <v>36</v>
      </c>
      <c r="Q175">
        <v>1</v>
      </c>
      <c r="Y175">
        <v>-1</v>
      </c>
      <c r="AA175">
        <v>569.53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-1</v>
      </c>
      <c r="AV175">
        <v>0</v>
      </c>
      <c r="AW175">
        <v>2</v>
      </c>
      <c r="AX175">
        <v>27552812</v>
      </c>
      <c r="AY175">
        <v>2</v>
      </c>
      <c r="AZ175">
        <v>12288</v>
      </c>
      <c r="BA175">
        <v>172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B175">
        <v>0</v>
      </c>
    </row>
    <row r="176" spans="1:80" ht="12.75">
      <c r="A176">
        <f>ROW(Source!A189)</f>
        <v>189</v>
      </c>
      <c r="B176">
        <v>27552808</v>
      </c>
      <c r="C176">
        <v>27552804</v>
      </c>
      <c r="D176">
        <v>24467775</v>
      </c>
      <c r="E176">
        <v>1</v>
      </c>
      <c r="F176">
        <v>1</v>
      </c>
      <c r="G176">
        <v>1</v>
      </c>
      <c r="H176">
        <v>3</v>
      </c>
      <c r="I176" t="s">
        <v>326</v>
      </c>
      <c r="J176" t="s">
        <v>327</v>
      </c>
      <c r="K176" t="s">
        <v>328</v>
      </c>
      <c r="L176">
        <v>1339</v>
      </c>
      <c r="N176">
        <v>1007</v>
      </c>
      <c r="O176" t="s">
        <v>99</v>
      </c>
      <c r="P176" t="s">
        <v>99</v>
      </c>
      <c r="Q176">
        <v>1</v>
      </c>
      <c r="Y176">
        <v>0.0008</v>
      </c>
      <c r="AA176">
        <v>665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0.0008</v>
      </c>
      <c r="AV176">
        <v>0</v>
      </c>
      <c r="AW176">
        <v>2</v>
      </c>
      <c r="AX176">
        <v>27552813</v>
      </c>
      <c r="AY176">
        <v>1</v>
      </c>
      <c r="AZ176">
        <v>0</v>
      </c>
      <c r="BA176">
        <v>173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B176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27551235</v>
      </c>
      <c r="C1">
        <v>27551232</v>
      </c>
      <c r="D1">
        <v>24503104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1369</v>
      </c>
      <c r="N1">
        <v>1013</v>
      </c>
      <c r="O1" t="s">
        <v>228</v>
      </c>
      <c r="P1" t="s">
        <v>228</v>
      </c>
      <c r="Q1">
        <v>1</v>
      </c>
      <c r="X1">
        <v>76.7</v>
      </c>
      <c r="Y1">
        <v>0</v>
      </c>
      <c r="Z1">
        <v>0</v>
      </c>
      <c r="AA1">
        <v>0</v>
      </c>
      <c r="AB1">
        <v>8.02</v>
      </c>
      <c r="AC1">
        <v>0</v>
      </c>
      <c r="AD1">
        <v>1</v>
      </c>
      <c r="AE1">
        <v>1</v>
      </c>
      <c r="AG1">
        <v>76.7</v>
      </c>
      <c r="AH1">
        <v>2</v>
      </c>
      <c r="AI1">
        <v>27551233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27551236</v>
      </c>
      <c r="C2">
        <v>27551232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229</v>
      </c>
      <c r="L2">
        <v>608254</v>
      </c>
      <c r="N2">
        <v>1013</v>
      </c>
      <c r="O2" t="s">
        <v>230</v>
      </c>
      <c r="P2" t="s">
        <v>230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</v>
      </c>
      <c r="AH2">
        <v>2</v>
      </c>
      <c r="AI2">
        <v>27551234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27551246</v>
      </c>
      <c r="C3">
        <v>27551237</v>
      </c>
      <c r="D3">
        <v>24505677</v>
      </c>
      <c r="E3">
        <v>1</v>
      </c>
      <c r="F3">
        <v>1</v>
      </c>
      <c r="G3">
        <v>1</v>
      </c>
      <c r="H3">
        <v>1</v>
      </c>
      <c r="I3" t="s">
        <v>231</v>
      </c>
      <c r="K3" t="s">
        <v>232</v>
      </c>
      <c r="L3">
        <v>1369</v>
      </c>
      <c r="N3">
        <v>1013</v>
      </c>
      <c r="O3" t="s">
        <v>228</v>
      </c>
      <c r="P3" t="s">
        <v>228</v>
      </c>
      <c r="Q3">
        <v>1</v>
      </c>
      <c r="X3">
        <v>76.08</v>
      </c>
      <c r="Y3">
        <v>0</v>
      </c>
      <c r="Z3">
        <v>0</v>
      </c>
      <c r="AA3">
        <v>0</v>
      </c>
      <c r="AB3">
        <v>8.46</v>
      </c>
      <c r="AC3">
        <v>0</v>
      </c>
      <c r="AD3">
        <v>1</v>
      </c>
      <c r="AE3">
        <v>1</v>
      </c>
      <c r="AG3">
        <v>76.08</v>
      </c>
      <c r="AH3">
        <v>2</v>
      </c>
      <c r="AI3">
        <v>27551238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27551247</v>
      </c>
      <c r="C4">
        <v>27551237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229</v>
      </c>
      <c r="L4">
        <v>608254</v>
      </c>
      <c r="N4">
        <v>1013</v>
      </c>
      <c r="O4" t="s">
        <v>230</v>
      </c>
      <c r="P4" t="s">
        <v>230</v>
      </c>
      <c r="Q4">
        <v>1</v>
      </c>
      <c r="X4">
        <v>0.68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G4">
        <v>0.68</v>
      </c>
      <c r="AH4">
        <v>2</v>
      </c>
      <c r="AI4">
        <v>27551239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ROW(Source!A29)</f>
        <v>29</v>
      </c>
      <c r="B5">
        <v>27551248</v>
      </c>
      <c r="C5">
        <v>27551237</v>
      </c>
      <c r="D5">
        <v>24450839</v>
      </c>
      <c r="E5">
        <v>1</v>
      </c>
      <c r="F5">
        <v>1</v>
      </c>
      <c r="G5">
        <v>1</v>
      </c>
      <c r="H5">
        <v>2</v>
      </c>
      <c r="I5" t="s">
        <v>233</v>
      </c>
      <c r="J5" t="s">
        <v>234</v>
      </c>
      <c r="K5" t="s">
        <v>235</v>
      </c>
      <c r="L5">
        <v>1368</v>
      </c>
      <c r="N5">
        <v>1011</v>
      </c>
      <c r="O5" t="s">
        <v>236</v>
      </c>
      <c r="P5" t="s">
        <v>236</v>
      </c>
      <c r="Q5">
        <v>1</v>
      </c>
      <c r="X5">
        <v>0.68</v>
      </c>
      <c r="Y5">
        <v>0</v>
      </c>
      <c r="Z5">
        <v>112</v>
      </c>
      <c r="AA5">
        <v>13.5</v>
      </c>
      <c r="AB5">
        <v>0</v>
      </c>
      <c r="AC5">
        <v>0</v>
      </c>
      <c r="AD5">
        <v>1</v>
      </c>
      <c r="AE5">
        <v>0</v>
      </c>
      <c r="AG5">
        <v>0.68</v>
      </c>
      <c r="AH5">
        <v>2</v>
      </c>
      <c r="AI5">
        <v>27551240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ROW(Source!A29)</f>
        <v>29</v>
      </c>
      <c r="B6">
        <v>27551249</v>
      </c>
      <c r="C6">
        <v>27551237</v>
      </c>
      <c r="D6">
        <v>24452575</v>
      </c>
      <c r="E6">
        <v>1</v>
      </c>
      <c r="F6">
        <v>1</v>
      </c>
      <c r="G6">
        <v>1</v>
      </c>
      <c r="H6">
        <v>2</v>
      </c>
      <c r="I6" t="s">
        <v>237</v>
      </c>
      <c r="J6" t="s">
        <v>238</v>
      </c>
      <c r="K6" t="s">
        <v>239</v>
      </c>
      <c r="L6">
        <v>1368</v>
      </c>
      <c r="N6">
        <v>1011</v>
      </c>
      <c r="O6" t="s">
        <v>236</v>
      </c>
      <c r="P6" t="s">
        <v>236</v>
      </c>
      <c r="Q6">
        <v>1</v>
      </c>
      <c r="X6">
        <v>0.04</v>
      </c>
      <c r="Y6">
        <v>0</v>
      </c>
      <c r="Z6">
        <v>87.17</v>
      </c>
      <c r="AA6">
        <v>11.6</v>
      </c>
      <c r="AB6">
        <v>0</v>
      </c>
      <c r="AC6">
        <v>0</v>
      </c>
      <c r="AD6">
        <v>1</v>
      </c>
      <c r="AE6">
        <v>0</v>
      </c>
      <c r="AG6">
        <v>0.04</v>
      </c>
      <c r="AH6">
        <v>2</v>
      </c>
      <c r="AI6">
        <v>27551241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27551250</v>
      </c>
      <c r="C7">
        <v>27551237</v>
      </c>
      <c r="D7">
        <v>24454508</v>
      </c>
      <c r="E7">
        <v>1</v>
      </c>
      <c r="F7">
        <v>1</v>
      </c>
      <c r="G7">
        <v>1</v>
      </c>
      <c r="H7">
        <v>3</v>
      </c>
      <c r="I7" t="s">
        <v>240</v>
      </c>
      <c r="J7" t="s">
        <v>241</v>
      </c>
      <c r="K7" t="s">
        <v>242</v>
      </c>
      <c r="L7">
        <v>1348</v>
      </c>
      <c r="N7">
        <v>1009</v>
      </c>
      <c r="O7" t="s">
        <v>87</v>
      </c>
      <c r="P7" t="s">
        <v>87</v>
      </c>
      <c r="Q7">
        <v>1000</v>
      </c>
      <c r="X7">
        <v>0.001</v>
      </c>
      <c r="Y7">
        <v>11978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0.001</v>
      </c>
      <c r="AH7">
        <v>2</v>
      </c>
      <c r="AI7">
        <v>27551242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27551251</v>
      </c>
      <c r="C8">
        <v>27551237</v>
      </c>
      <c r="D8">
        <v>24456413</v>
      </c>
      <c r="E8">
        <v>1</v>
      </c>
      <c r="F8">
        <v>1</v>
      </c>
      <c r="G8">
        <v>1</v>
      </c>
      <c r="H8">
        <v>3</v>
      </c>
      <c r="I8" t="s">
        <v>243</v>
      </c>
      <c r="J8" t="s">
        <v>244</v>
      </c>
      <c r="K8" t="s">
        <v>245</v>
      </c>
      <c r="L8">
        <v>1339</v>
      </c>
      <c r="N8">
        <v>1007</v>
      </c>
      <c r="O8" t="s">
        <v>99</v>
      </c>
      <c r="P8" t="s">
        <v>99</v>
      </c>
      <c r="Q8">
        <v>1</v>
      </c>
      <c r="X8">
        <v>0.17</v>
      </c>
      <c r="Y8">
        <v>879.99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0.17</v>
      </c>
      <c r="AH8">
        <v>2</v>
      </c>
      <c r="AI8">
        <v>27551243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27551252</v>
      </c>
      <c r="C9">
        <v>27551237</v>
      </c>
      <c r="D9">
        <v>24467774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1339</v>
      </c>
      <c r="N9">
        <v>1007</v>
      </c>
      <c r="O9" t="s">
        <v>99</v>
      </c>
      <c r="P9" t="s">
        <v>99</v>
      </c>
      <c r="Q9">
        <v>1</v>
      </c>
      <c r="X9">
        <v>5.9</v>
      </c>
      <c r="Y9">
        <v>638.4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5.9</v>
      </c>
      <c r="AH9">
        <v>2</v>
      </c>
      <c r="AI9">
        <v>27551244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27551253</v>
      </c>
      <c r="C10">
        <v>27551237</v>
      </c>
      <c r="D10">
        <v>24468225</v>
      </c>
      <c r="E10">
        <v>1</v>
      </c>
      <c r="F10">
        <v>1</v>
      </c>
      <c r="G10">
        <v>1</v>
      </c>
      <c r="H10">
        <v>3</v>
      </c>
      <c r="I10" t="s">
        <v>249</v>
      </c>
      <c r="J10" t="s">
        <v>250</v>
      </c>
      <c r="K10" t="s">
        <v>251</v>
      </c>
      <c r="L10">
        <v>1339</v>
      </c>
      <c r="N10">
        <v>1007</v>
      </c>
      <c r="O10" t="s">
        <v>99</v>
      </c>
      <c r="P10" t="s">
        <v>99</v>
      </c>
      <c r="Q10">
        <v>1</v>
      </c>
      <c r="X10">
        <v>0.06</v>
      </c>
      <c r="Y10">
        <v>519.8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0.06</v>
      </c>
      <c r="AH10">
        <v>2</v>
      </c>
      <c r="AI10">
        <v>27551245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27551254</v>
      </c>
      <c r="C11">
        <v>27551237</v>
      </c>
      <c r="D11">
        <v>24473036</v>
      </c>
      <c r="E11">
        <v>1</v>
      </c>
      <c r="F11">
        <v>1</v>
      </c>
      <c r="G11">
        <v>1</v>
      </c>
      <c r="H11">
        <v>3</v>
      </c>
      <c r="I11" t="s">
        <v>39</v>
      </c>
      <c r="J11" t="s">
        <v>42</v>
      </c>
      <c r="K11" t="s">
        <v>40</v>
      </c>
      <c r="L11">
        <v>1301</v>
      </c>
      <c r="N11">
        <v>1003</v>
      </c>
      <c r="O11" t="s">
        <v>41</v>
      </c>
      <c r="P11" t="s">
        <v>41</v>
      </c>
      <c r="Q11">
        <v>1</v>
      </c>
      <c r="X11">
        <v>100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G11">
        <v>100</v>
      </c>
      <c r="AH11">
        <v>2</v>
      </c>
      <c r="AI11">
        <v>27551258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ROW(Source!A32)</f>
        <v>32</v>
      </c>
      <c r="B12">
        <v>27551268</v>
      </c>
      <c r="C12">
        <v>27551259</v>
      </c>
      <c r="D12">
        <v>24505677</v>
      </c>
      <c r="E12">
        <v>1</v>
      </c>
      <c r="F12">
        <v>1</v>
      </c>
      <c r="G12">
        <v>1</v>
      </c>
      <c r="H12">
        <v>1</v>
      </c>
      <c r="I12" t="s">
        <v>231</v>
      </c>
      <c r="K12" t="s">
        <v>232</v>
      </c>
      <c r="L12">
        <v>1369</v>
      </c>
      <c r="N12">
        <v>1013</v>
      </c>
      <c r="O12" t="s">
        <v>228</v>
      </c>
      <c r="P12" t="s">
        <v>228</v>
      </c>
      <c r="Q12">
        <v>1</v>
      </c>
      <c r="X12">
        <v>76.08</v>
      </c>
      <c r="Y12">
        <v>0</v>
      </c>
      <c r="Z12">
        <v>0</v>
      </c>
      <c r="AA12">
        <v>0</v>
      </c>
      <c r="AB12">
        <v>8.46</v>
      </c>
      <c r="AC12">
        <v>0</v>
      </c>
      <c r="AD12">
        <v>1</v>
      </c>
      <c r="AE12">
        <v>1</v>
      </c>
      <c r="AG12">
        <v>76.08</v>
      </c>
      <c r="AH12">
        <v>2</v>
      </c>
      <c r="AI12">
        <v>27551260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ROW(Source!A32)</f>
        <v>32</v>
      </c>
      <c r="B13">
        <v>27551269</v>
      </c>
      <c r="C13">
        <v>27551259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229</v>
      </c>
      <c r="L13">
        <v>608254</v>
      </c>
      <c r="N13">
        <v>1013</v>
      </c>
      <c r="O13" t="s">
        <v>230</v>
      </c>
      <c r="P13" t="s">
        <v>230</v>
      </c>
      <c r="Q13">
        <v>1</v>
      </c>
      <c r="X13">
        <v>0.68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0.68</v>
      </c>
      <c r="AH13">
        <v>2</v>
      </c>
      <c r="AI13">
        <v>27551261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ROW(Source!A32)</f>
        <v>32</v>
      </c>
      <c r="B14">
        <v>27551270</v>
      </c>
      <c r="C14">
        <v>27551259</v>
      </c>
      <c r="D14">
        <v>24450839</v>
      </c>
      <c r="E14">
        <v>1</v>
      </c>
      <c r="F14">
        <v>1</v>
      </c>
      <c r="G14">
        <v>1</v>
      </c>
      <c r="H14">
        <v>2</v>
      </c>
      <c r="I14" t="s">
        <v>233</v>
      </c>
      <c r="J14" t="s">
        <v>234</v>
      </c>
      <c r="K14" t="s">
        <v>235</v>
      </c>
      <c r="L14">
        <v>1368</v>
      </c>
      <c r="N14">
        <v>1011</v>
      </c>
      <c r="O14" t="s">
        <v>236</v>
      </c>
      <c r="P14" t="s">
        <v>236</v>
      </c>
      <c r="Q14">
        <v>1</v>
      </c>
      <c r="X14">
        <v>0.68</v>
      </c>
      <c r="Y14">
        <v>0</v>
      </c>
      <c r="Z14">
        <v>112</v>
      </c>
      <c r="AA14">
        <v>13.5</v>
      </c>
      <c r="AB14">
        <v>0</v>
      </c>
      <c r="AC14">
        <v>0</v>
      </c>
      <c r="AD14">
        <v>1</v>
      </c>
      <c r="AE14">
        <v>0</v>
      </c>
      <c r="AG14">
        <v>0.68</v>
      </c>
      <c r="AH14">
        <v>2</v>
      </c>
      <c r="AI14">
        <v>27551262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ROW(Source!A32)</f>
        <v>32</v>
      </c>
      <c r="B15">
        <v>27551271</v>
      </c>
      <c r="C15">
        <v>27551259</v>
      </c>
      <c r="D15">
        <v>24452575</v>
      </c>
      <c r="E15">
        <v>1</v>
      </c>
      <c r="F15">
        <v>1</v>
      </c>
      <c r="G15">
        <v>1</v>
      </c>
      <c r="H15">
        <v>2</v>
      </c>
      <c r="I15" t="s">
        <v>237</v>
      </c>
      <c r="J15" t="s">
        <v>238</v>
      </c>
      <c r="K15" t="s">
        <v>239</v>
      </c>
      <c r="L15">
        <v>1368</v>
      </c>
      <c r="N15">
        <v>1011</v>
      </c>
      <c r="O15" t="s">
        <v>236</v>
      </c>
      <c r="P15" t="s">
        <v>236</v>
      </c>
      <c r="Q15">
        <v>1</v>
      </c>
      <c r="X15">
        <v>0.04</v>
      </c>
      <c r="Y15">
        <v>0</v>
      </c>
      <c r="Z15">
        <v>87.17</v>
      </c>
      <c r="AA15">
        <v>11.6</v>
      </c>
      <c r="AB15">
        <v>0</v>
      </c>
      <c r="AC15">
        <v>0</v>
      </c>
      <c r="AD15">
        <v>1</v>
      </c>
      <c r="AE15">
        <v>0</v>
      </c>
      <c r="AG15">
        <v>0.04</v>
      </c>
      <c r="AH15">
        <v>2</v>
      </c>
      <c r="AI15">
        <v>27551263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ROW(Source!A32)</f>
        <v>32</v>
      </c>
      <c r="B16">
        <v>27551272</v>
      </c>
      <c r="C16">
        <v>27551259</v>
      </c>
      <c r="D16">
        <v>24454508</v>
      </c>
      <c r="E16">
        <v>1</v>
      </c>
      <c r="F16">
        <v>1</v>
      </c>
      <c r="G16">
        <v>1</v>
      </c>
      <c r="H16">
        <v>3</v>
      </c>
      <c r="I16" t="s">
        <v>240</v>
      </c>
      <c r="J16" t="s">
        <v>241</v>
      </c>
      <c r="K16" t="s">
        <v>242</v>
      </c>
      <c r="L16">
        <v>1348</v>
      </c>
      <c r="N16">
        <v>1009</v>
      </c>
      <c r="O16" t="s">
        <v>87</v>
      </c>
      <c r="P16" t="s">
        <v>87</v>
      </c>
      <c r="Q16">
        <v>1000</v>
      </c>
      <c r="X16">
        <v>0.001</v>
      </c>
      <c r="Y16">
        <v>11978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0.001</v>
      </c>
      <c r="AH16">
        <v>2</v>
      </c>
      <c r="AI16">
        <v>27551264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ROW(Source!A32)</f>
        <v>32</v>
      </c>
      <c r="B17">
        <v>27551273</v>
      </c>
      <c r="C17">
        <v>27551259</v>
      </c>
      <c r="D17">
        <v>24456413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1339</v>
      </c>
      <c r="N17">
        <v>1007</v>
      </c>
      <c r="O17" t="s">
        <v>99</v>
      </c>
      <c r="P17" t="s">
        <v>99</v>
      </c>
      <c r="Q17">
        <v>1</v>
      </c>
      <c r="X17">
        <v>0.17</v>
      </c>
      <c r="Y17">
        <v>879.99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0.17</v>
      </c>
      <c r="AH17">
        <v>2</v>
      </c>
      <c r="AI17">
        <v>27551265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ROW(Source!A32)</f>
        <v>32</v>
      </c>
      <c r="B18">
        <v>27551274</v>
      </c>
      <c r="C18">
        <v>27551259</v>
      </c>
      <c r="D18">
        <v>24467774</v>
      </c>
      <c r="E18">
        <v>1</v>
      </c>
      <c r="F18">
        <v>1</v>
      </c>
      <c r="G18">
        <v>1</v>
      </c>
      <c r="H18">
        <v>3</v>
      </c>
      <c r="I18" t="s">
        <v>246</v>
      </c>
      <c r="J18" t="s">
        <v>247</v>
      </c>
      <c r="K18" t="s">
        <v>248</v>
      </c>
      <c r="L18">
        <v>1339</v>
      </c>
      <c r="N18">
        <v>1007</v>
      </c>
      <c r="O18" t="s">
        <v>99</v>
      </c>
      <c r="P18" t="s">
        <v>99</v>
      </c>
      <c r="Q18">
        <v>1</v>
      </c>
      <c r="X18">
        <v>5.9</v>
      </c>
      <c r="Y18">
        <v>638.4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5.9</v>
      </c>
      <c r="AH18">
        <v>2</v>
      </c>
      <c r="AI18">
        <v>27551266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ROW(Source!A32)</f>
        <v>32</v>
      </c>
      <c r="B19">
        <v>27551275</v>
      </c>
      <c r="C19">
        <v>27551259</v>
      </c>
      <c r="D19">
        <v>24468225</v>
      </c>
      <c r="E19">
        <v>1</v>
      </c>
      <c r="F19">
        <v>1</v>
      </c>
      <c r="G19">
        <v>1</v>
      </c>
      <c r="H19">
        <v>3</v>
      </c>
      <c r="I19" t="s">
        <v>249</v>
      </c>
      <c r="J19" t="s">
        <v>250</v>
      </c>
      <c r="K19" t="s">
        <v>251</v>
      </c>
      <c r="L19">
        <v>1339</v>
      </c>
      <c r="N19">
        <v>1007</v>
      </c>
      <c r="O19" t="s">
        <v>99</v>
      </c>
      <c r="P19" t="s">
        <v>99</v>
      </c>
      <c r="Q19">
        <v>1</v>
      </c>
      <c r="X19">
        <v>0.06</v>
      </c>
      <c r="Y19">
        <v>519.8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0.06</v>
      </c>
      <c r="AH19">
        <v>2</v>
      </c>
      <c r="AI19">
        <v>27551267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27551276</v>
      </c>
      <c r="C20">
        <v>27551259</v>
      </c>
      <c r="D20">
        <v>24473036</v>
      </c>
      <c r="E20">
        <v>1</v>
      </c>
      <c r="F20">
        <v>1</v>
      </c>
      <c r="G20">
        <v>1</v>
      </c>
      <c r="H20">
        <v>3</v>
      </c>
      <c r="I20" t="s">
        <v>39</v>
      </c>
      <c r="J20" t="s">
        <v>42</v>
      </c>
      <c r="K20" t="s">
        <v>40</v>
      </c>
      <c r="L20">
        <v>1301</v>
      </c>
      <c r="N20">
        <v>1003</v>
      </c>
      <c r="O20" t="s">
        <v>41</v>
      </c>
      <c r="P20" t="s">
        <v>41</v>
      </c>
      <c r="Q20">
        <v>1</v>
      </c>
      <c r="X20">
        <v>100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G20">
        <v>100</v>
      </c>
      <c r="AH20">
        <v>2</v>
      </c>
      <c r="AI20">
        <v>27551280</v>
      </c>
      <c r="AJ20">
        <v>22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ROW(Source!A56)</f>
        <v>56</v>
      </c>
      <c r="B21">
        <v>27551319</v>
      </c>
      <c r="C21">
        <v>27551313</v>
      </c>
      <c r="D21">
        <v>4923864</v>
      </c>
      <c r="E21">
        <v>1</v>
      </c>
      <c r="F21">
        <v>1</v>
      </c>
      <c r="G21">
        <v>1</v>
      </c>
      <c r="H21">
        <v>1</v>
      </c>
      <c r="I21" t="s">
        <v>252</v>
      </c>
      <c r="K21" t="s">
        <v>253</v>
      </c>
      <c r="L21">
        <v>1369</v>
      </c>
      <c r="N21">
        <v>1013</v>
      </c>
      <c r="O21" t="s">
        <v>228</v>
      </c>
      <c r="P21" t="s">
        <v>228</v>
      </c>
      <c r="Q21">
        <v>1</v>
      </c>
      <c r="X21">
        <v>15.08</v>
      </c>
      <c r="Y21">
        <v>0</v>
      </c>
      <c r="Z21">
        <v>0</v>
      </c>
      <c r="AA21">
        <v>0</v>
      </c>
      <c r="AB21">
        <v>7.8</v>
      </c>
      <c r="AC21">
        <v>0</v>
      </c>
      <c r="AD21">
        <v>1</v>
      </c>
      <c r="AE21">
        <v>1</v>
      </c>
      <c r="AG21">
        <v>15.08</v>
      </c>
      <c r="AH21">
        <v>2</v>
      </c>
      <c r="AI21">
        <v>27551314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ROW(Source!A56)</f>
        <v>56</v>
      </c>
      <c r="B22">
        <v>27551320</v>
      </c>
      <c r="C22">
        <v>27551313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28</v>
      </c>
      <c r="K22" t="s">
        <v>229</v>
      </c>
      <c r="L22">
        <v>608254</v>
      </c>
      <c r="N22">
        <v>1013</v>
      </c>
      <c r="O22" t="s">
        <v>230</v>
      </c>
      <c r="P22" t="s">
        <v>230</v>
      </c>
      <c r="Q22">
        <v>1</v>
      </c>
      <c r="X22">
        <v>43.62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G22">
        <v>43.62</v>
      </c>
      <c r="AH22">
        <v>2</v>
      </c>
      <c r="AI22">
        <v>27551315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ROW(Source!A56)</f>
        <v>56</v>
      </c>
      <c r="B23">
        <v>27551321</v>
      </c>
      <c r="C23">
        <v>27551313</v>
      </c>
      <c r="D23">
        <v>12108308</v>
      </c>
      <c r="E23">
        <v>1</v>
      </c>
      <c r="F23">
        <v>1</v>
      </c>
      <c r="G23">
        <v>1</v>
      </c>
      <c r="H23">
        <v>2</v>
      </c>
      <c r="I23" t="s">
        <v>254</v>
      </c>
      <c r="J23" t="s">
        <v>255</v>
      </c>
      <c r="K23" t="s">
        <v>256</v>
      </c>
      <c r="L23">
        <v>1368</v>
      </c>
      <c r="N23">
        <v>1011</v>
      </c>
      <c r="O23" t="s">
        <v>236</v>
      </c>
      <c r="P23" t="s">
        <v>236</v>
      </c>
      <c r="Q23">
        <v>1</v>
      </c>
      <c r="X23">
        <v>33.28</v>
      </c>
      <c r="Y23">
        <v>0</v>
      </c>
      <c r="Z23">
        <v>100</v>
      </c>
      <c r="AA23">
        <v>13.5</v>
      </c>
      <c r="AB23">
        <v>0</v>
      </c>
      <c r="AC23">
        <v>0</v>
      </c>
      <c r="AD23">
        <v>1</v>
      </c>
      <c r="AE23">
        <v>0</v>
      </c>
      <c r="AG23">
        <v>33.28</v>
      </c>
      <c r="AH23">
        <v>2</v>
      </c>
      <c r="AI23">
        <v>27551316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ROW(Source!A56)</f>
        <v>56</v>
      </c>
      <c r="B24">
        <v>27551322</v>
      </c>
      <c r="C24">
        <v>27551313</v>
      </c>
      <c r="D24">
        <v>12108430</v>
      </c>
      <c r="E24">
        <v>1</v>
      </c>
      <c r="F24">
        <v>1</v>
      </c>
      <c r="G24">
        <v>1</v>
      </c>
      <c r="H24">
        <v>2</v>
      </c>
      <c r="I24" t="s">
        <v>257</v>
      </c>
      <c r="J24" t="s">
        <v>258</v>
      </c>
      <c r="K24" t="s">
        <v>259</v>
      </c>
      <c r="L24">
        <v>1368</v>
      </c>
      <c r="N24">
        <v>1011</v>
      </c>
      <c r="O24" t="s">
        <v>236</v>
      </c>
      <c r="P24" t="s">
        <v>236</v>
      </c>
      <c r="Q24">
        <v>1</v>
      </c>
      <c r="X24">
        <v>10.34</v>
      </c>
      <c r="Y24">
        <v>0</v>
      </c>
      <c r="Z24">
        <v>80</v>
      </c>
      <c r="AA24">
        <v>14.4</v>
      </c>
      <c r="AB24">
        <v>0</v>
      </c>
      <c r="AC24">
        <v>0</v>
      </c>
      <c r="AD24">
        <v>1</v>
      </c>
      <c r="AE24">
        <v>0</v>
      </c>
      <c r="AG24">
        <v>10.34</v>
      </c>
      <c r="AH24">
        <v>2</v>
      </c>
      <c r="AI24">
        <v>27551317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ROW(Source!A56)</f>
        <v>56</v>
      </c>
      <c r="B25">
        <v>27551323</v>
      </c>
      <c r="C25">
        <v>27551313</v>
      </c>
      <c r="D25">
        <v>12042760</v>
      </c>
      <c r="E25">
        <v>1</v>
      </c>
      <c r="F25">
        <v>1</v>
      </c>
      <c r="G25">
        <v>1</v>
      </c>
      <c r="H25">
        <v>3</v>
      </c>
      <c r="I25" t="s">
        <v>260</v>
      </c>
      <c r="J25" t="s">
        <v>261</v>
      </c>
      <c r="K25" t="s">
        <v>262</v>
      </c>
      <c r="L25">
        <v>1339</v>
      </c>
      <c r="N25">
        <v>1007</v>
      </c>
      <c r="O25" t="s">
        <v>99</v>
      </c>
      <c r="P25" t="s">
        <v>99</v>
      </c>
      <c r="Q25">
        <v>1</v>
      </c>
      <c r="X25">
        <v>0.04</v>
      </c>
      <c r="Y25">
        <v>108.4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0.04</v>
      </c>
      <c r="AH25">
        <v>2</v>
      </c>
      <c r="AI25">
        <v>27551318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ROW(Source!A58)</f>
        <v>58</v>
      </c>
      <c r="B26">
        <v>27551366</v>
      </c>
      <c r="C26">
        <v>27551324</v>
      </c>
      <c r="D26">
        <v>24503104</v>
      </c>
      <c r="E26">
        <v>1</v>
      </c>
      <c r="F26">
        <v>1</v>
      </c>
      <c r="G26">
        <v>1</v>
      </c>
      <c r="H26">
        <v>1</v>
      </c>
      <c r="I26" t="s">
        <v>226</v>
      </c>
      <c r="K26" t="s">
        <v>227</v>
      </c>
      <c r="L26">
        <v>1369</v>
      </c>
      <c r="N26">
        <v>1013</v>
      </c>
      <c r="O26" t="s">
        <v>228</v>
      </c>
      <c r="P26" t="s">
        <v>228</v>
      </c>
      <c r="Q26">
        <v>1</v>
      </c>
      <c r="X26">
        <v>15.72</v>
      </c>
      <c r="Y26">
        <v>0</v>
      </c>
      <c r="Z26">
        <v>0</v>
      </c>
      <c r="AA26">
        <v>0</v>
      </c>
      <c r="AB26">
        <v>8.02</v>
      </c>
      <c r="AC26">
        <v>0</v>
      </c>
      <c r="AD26">
        <v>1</v>
      </c>
      <c r="AE26">
        <v>1</v>
      </c>
      <c r="AG26">
        <v>15.72</v>
      </c>
      <c r="AH26">
        <v>2</v>
      </c>
      <c r="AI26">
        <v>27551366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ROW(Source!A58)</f>
        <v>58</v>
      </c>
      <c r="B27">
        <v>27551367</v>
      </c>
      <c r="C27">
        <v>27551324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28</v>
      </c>
      <c r="K27" t="s">
        <v>229</v>
      </c>
      <c r="L27">
        <v>608254</v>
      </c>
      <c r="N27">
        <v>1013</v>
      </c>
      <c r="O27" t="s">
        <v>230</v>
      </c>
      <c r="P27" t="s">
        <v>230</v>
      </c>
      <c r="Q27">
        <v>1</v>
      </c>
      <c r="X27">
        <v>13.88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G27">
        <v>13.88</v>
      </c>
      <c r="AH27">
        <v>2</v>
      </c>
      <c r="AI27">
        <v>27551367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ROW(Source!A58)</f>
        <v>58</v>
      </c>
      <c r="B28">
        <v>27551368</v>
      </c>
      <c r="C28">
        <v>27551324</v>
      </c>
      <c r="D28">
        <v>24450908</v>
      </c>
      <c r="E28">
        <v>1</v>
      </c>
      <c r="F28">
        <v>1</v>
      </c>
      <c r="G28">
        <v>1</v>
      </c>
      <c r="H28">
        <v>2</v>
      </c>
      <c r="I28" t="s">
        <v>263</v>
      </c>
      <c r="J28" t="s">
        <v>264</v>
      </c>
      <c r="K28" t="s">
        <v>265</v>
      </c>
      <c r="L28">
        <v>1368</v>
      </c>
      <c r="N28">
        <v>1011</v>
      </c>
      <c r="O28" t="s">
        <v>236</v>
      </c>
      <c r="P28" t="s">
        <v>236</v>
      </c>
      <c r="Q28">
        <v>1</v>
      </c>
      <c r="X28">
        <v>4.29</v>
      </c>
      <c r="Y28">
        <v>0</v>
      </c>
      <c r="Z28">
        <v>99.89</v>
      </c>
      <c r="AA28">
        <v>10.06</v>
      </c>
      <c r="AB28">
        <v>0</v>
      </c>
      <c r="AC28">
        <v>0</v>
      </c>
      <c r="AD28">
        <v>1</v>
      </c>
      <c r="AE28">
        <v>0</v>
      </c>
      <c r="AG28">
        <v>4.29</v>
      </c>
      <c r="AH28">
        <v>2</v>
      </c>
      <c r="AI28">
        <v>27551368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ROW(Source!A58)</f>
        <v>58</v>
      </c>
      <c r="B29">
        <v>27551369</v>
      </c>
      <c r="C29">
        <v>27551324</v>
      </c>
      <c r="D29">
        <v>24451440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236</v>
      </c>
      <c r="P29" t="s">
        <v>236</v>
      </c>
      <c r="Q29">
        <v>1</v>
      </c>
      <c r="X29">
        <v>1.77</v>
      </c>
      <c r="Y29">
        <v>0</v>
      </c>
      <c r="Z29">
        <v>123</v>
      </c>
      <c r="AA29">
        <v>13.5</v>
      </c>
      <c r="AB29">
        <v>0</v>
      </c>
      <c r="AC29">
        <v>0</v>
      </c>
      <c r="AD29">
        <v>1</v>
      </c>
      <c r="AE29">
        <v>0</v>
      </c>
      <c r="AG29">
        <v>1.77</v>
      </c>
      <c r="AH29">
        <v>2</v>
      </c>
      <c r="AI29">
        <v>27551369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ROW(Source!A58)</f>
        <v>58</v>
      </c>
      <c r="B30">
        <v>27551370</v>
      </c>
      <c r="C30">
        <v>27551324</v>
      </c>
      <c r="D30">
        <v>24451470</v>
      </c>
      <c r="E30">
        <v>1</v>
      </c>
      <c r="F30">
        <v>1</v>
      </c>
      <c r="G30">
        <v>1</v>
      </c>
      <c r="H30">
        <v>2</v>
      </c>
      <c r="I30" t="s">
        <v>269</v>
      </c>
      <c r="J30" t="s">
        <v>270</v>
      </c>
      <c r="K30" t="s">
        <v>271</v>
      </c>
      <c r="L30">
        <v>1368</v>
      </c>
      <c r="N30">
        <v>1011</v>
      </c>
      <c r="O30" t="s">
        <v>236</v>
      </c>
      <c r="P30" t="s">
        <v>236</v>
      </c>
      <c r="Q30">
        <v>1</v>
      </c>
      <c r="X30">
        <v>7.08</v>
      </c>
      <c r="Y30">
        <v>0</v>
      </c>
      <c r="Z30">
        <v>206.01</v>
      </c>
      <c r="AA30">
        <v>14.4</v>
      </c>
      <c r="AB30">
        <v>0</v>
      </c>
      <c r="AC30">
        <v>0</v>
      </c>
      <c r="AD30">
        <v>1</v>
      </c>
      <c r="AE30">
        <v>0</v>
      </c>
      <c r="AG30">
        <v>7.08</v>
      </c>
      <c r="AH30">
        <v>2</v>
      </c>
      <c r="AI30">
        <v>27551370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ROW(Source!A58)</f>
        <v>58</v>
      </c>
      <c r="B31">
        <v>27551371</v>
      </c>
      <c r="C31">
        <v>27551324</v>
      </c>
      <c r="D31">
        <v>24451524</v>
      </c>
      <c r="E31">
        <v>1</v>
      </c>
      <c r="F31">
        <v>1</v>
      </c>
      <c r="G31">
        <v>1</v>
      </c>
      <c r="H31">
        <v>2</v>
      </c>
      <c r="I31" t="s">
        <v>272</v>
      </c>
      <c r="J31" t="s">
        <v>273</v>
      </c>
      <c r="K31" t="s">
        <v>274</v>
      </c>
      <c r="L31">
        <v>1368</v>
      </c>
      <c r="N31">
        <v>1011</v>
      </c>
      <c r="O31" t="s">
        <v>236</v>
      </c>
      <c r="P31" t="s">
        <v>236</v>
      </c>
      <c r="Q31">
        <v>1</v>
      </c>
      <c r="X31">
        <v>0.74</v>
      </c>
      <c r="Y31">
        <v>0</v>
      </c>
      <c r="Z31">
        <v>110</v>
      </c>
      <c r="AA31">
        <v>11.6</v>
      </c>
      <c r="AB31">
        <v>0</v>
      </c>
      <c r="AC31">
        <v>0</v>
      </c>
      <c r="AD31">
        <v>1</v>
      </c>
      <c r="AE31">
        <v>0</v>
      </c>
      <c r="AG31">
        <v>0.74</v>
      </c>
      <c r="AH31">
        <v>2</v>
      </c>
      <c r="AI31">
        <v>27551371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ROW(Source!A58)</f>
        <v>58</v>
      </c>
      <c r="B32">
        <v>27551372</v>
      </c>
      <c r="C32">
        <v>27551324</v>
      </c>
      <c r="D32">
        <v>24472163</v>
      </c>
      <c r="E32">
        <v>1</v>
      </c>
      <c r="F32">
        <v>1</v>
      </c>
      <c r="G32">
        <v>1</v>
      </c>
      <c r="H32">
        <v>3</v>
      </c>
      <c r="I32" t="s">
        <v>329</v>
      </c>
      <c r="J32" t="s">
        <v>330</v>
      </c>
      <c r="K32" t="s">
        <v>331</v>
      </c>
      <c r="L32">
        <v>1339</v>
      </c>
      <c r="N32">
        <v>1007</v>
      </c>
      <c r="O32" t="s">
        <v>99</v>
      </c>
      <c r="P32" t="s">
        <v>99</v>
      </c>
      <c r="Q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G32">
        <v>0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ROW(Source!A58)</f>
        <v>58</v>
      </c>
      <c r="B33">
        <v>27551373</v>
      </c>
      <c r="C33">
        <v>27551324</v>
      </c>
      <c r="D33">
        <v>24472293</v>
      </c>
      <c r="E33">
        <v>1</v>
      </c>
      <c r="F33">
        <v>1</v>
      </c>
      <c r="G33">
        <v>1</v>
      </c>
      <c r="H33">
        <v>3</v>
      </c>
      <c r="I33" t="s">
        <v>275</v>
      </c>
      <c r="J33" t="s">
        <v>276</v>
      </c>
      <c r="K33" t="s">
        <v>277</v>
      </c>
      <c r="L33">
        <v>1339</v>
      </c>
      <c r="N33">
        <v>1007</v>
      </c>
      <c r="O33" t="s">
        <v>99</v>
      </c>
      <c r="P33" t="s">
        <v>99</v>
      </c>
      <c r="Q33">
        <v>1</v>
      </c>
      <c r="X33">
        <v>5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5</v>
      </c>
      <c r="AH33">
        <v>2</v>
      </c>
      <c r="AI33">
        <v>27551373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ROW(Source!A60)</f>
        <v>60</v>
      </c>
      <c r="B34">
        <v>27551375</v>
      </c>
      <c r="C34">
        <v>27551344</v>
      </c>
      <c r="D34">
        <v>24505038</v>
      </c>
      <c r="E34">
        <v>1</v>
      </c>
      <c r="F34">
        <v>1</v>
      </c>
      <c r="G34">
        <v>1</v>
      </c>
      <c r="H34">
        <v>1</v>
      </c>
      <c r="I34" t="s">
        <v>278</v>
      </c>
      <c r="K34" t="s">
        <v>279</v>
      </c>
      <c r="L34">
        <v>1369</v>
      </c>
      <c r="N34">
        <v>1013</v>
      </c>
      <c r="O34" t="s">
        <v>228</v>
      </c>
      <c r="P34" t="s">
        <v>228</v>
      </c>
      <c r="Q34">
        <v>1</v>
      </c>
      <c r="X34">
        <v>24.19</v>
      </c>
      <c r="Y34">
        <v>0</v>
      </c>
      <c r="Z34">
        <v>0</v>
      </c>
      <c r="AA34">
        <v>0</v>
      </c>
      <c r="AB34">
        <v>8.09</v>
      </c>
      <c r="AC34">
        <v>0</v>
      </c>
      <c r="AD34">
        <v>1</v>
      </c>
      <c r="AE34">
        <v>1</v>
      </c>
      <c r="AG34">
        <v>24.19</v>
      </c>
      <c r="AH34">
        <v>2</v>
      </c>
      <c r="AI34">
        <v>27551375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ROW(Source!A60)</f>
        <v>60</v>
      </c>
      <c r="B35">
        <v>27551376</v>
      </c>
      <c r="C35">
        <v>27551344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28</v>
      </c>
      <c r="K35" t="s">
        <v>229</v>
      </c>
      <c r="L35">
        <v>608254</v>
      </c>
      <c r="N35">
        <v>1013</v>
      </c>
      <c r="O35" t="s">
        <v>230</v>
      </c>
      <c r="P35" t="s">
        <v>230</v>
      </c>
      <c r="Q35">
        <v>1</v>
      </c>
      <c r="X35">
        <v>20.6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G35">
        <v>20.6</v>
      </c>
      <c r="AH35">
        <v>2</v>
      </c>
      <c r="AI35">
        <v>27551376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ROW(Source!A60)</f>
        <v>60</v>
      </c>
      <c r="B36">
        <v>27551377</v>
      </c>
      <c r="C36">
        <v>27551344</v>
      </c>
      <c r="D36">
        <v>24450908</v>
      </c>
      <c r="E36">
        <v>1</v>
      </c>
      <c r="F36">
        <v>1</v>
      </c>
      <c r="G36">
        <v>1</v>
      </c>
      <c r="H36">
        <v>2</v>
      </c>
      <c r="I36" t="s">
        <v>263</v>
      </c>
      <c r="J36" t="s">
        <v>264</v>
      </c>
      <c r="K36" t="s">
        <v>265</v>
      </c>
      <c r="L36">
        <v>1368</v>
      </c>
      <c r="N36">
        <v>1011</v>
      </c>
      <c r="O36" t="s">
        <v>236</v>
      </c>
      <c r="P36" t="s">
        <v>236</v>
      </c>
      <c r="Q36">
        <v>1</v>
      </c>
      <c r="X36">
        <v>2.46</v>
      </c>
      <c r="Y36">
        <v>0</v>
      </c>
      <c r="Z36">
        <v>99.89</v>
      </c>
      <c r="AA36">
        <v>10.06</v>
      </c>
      <c r="AB36">
        <v>0</v>
      </c>
      <c r="AC36">
        <v>0</v>
      </c>
      <c r="AD36">
        <v>1</v>
      </c>
      <c r="AE36">
        <v>0</v>
      </c>
      <c r="AG36">
        <v>2.46</v>
      </c>
      <c r="AH36">
        <v>2</v>
      </c>
      <c r="AI36">
        <v>27551377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ROW(Source!A60)</f>
        <v>60</v>
      </c>
      <c r="B37">
        <v>27551378</v>
      </c>
      <c r="C37">
        <v>27551344</v>
      </c>
      <c r="D37">
        <v>24451199</v>
      </c>
      <c r="E37">
        <v>1</v>
      </c>
      <c r="F37">
        <v>1</v>
      </c>
      <c r="G37">
        <v>1</v>
      </c>
      <c r="H37">
        <v>2</v>
      </c>
      <c r="I37" t="s">
        <v>257</v>
      </c>
      <c r="J37" t="s">
        <v>280</v>
      </c>
      <c r="K37" t="s">
        <v>281</v>
      </c>
      <c r="L37">
        <v>1368</v>
      </c>
      <c r="N37">
        <v>1011</v>
      </c>
      <c r="O37" t="s">
        <v>236</v>
      </c>
      <c r="P37" t="s">
        <v>236</v>
      </c>
      <c r="Q37">
        <v>1</v>
      </c>
      <c r="X37">
        <v>2.59</v>
      </c>
      <c r="Y37">
        <v>0</v>
      </c>
      <c r="Z37">
        <v>80.01</v>
      </c>
      <c r="AA37">
        <v>14.4</v>
      </c>
      <c r="AB37">
        <v>0</v>
      </c>
      <c r="AC37">
        <v>0</v>
      </c>
      <c r="AD37">
        <v>1</v>
      </c>
      <c r="AE37">
        <v>0</v>
      </c>
      <c r="AG37">
        <v>2.59</v>
      </c>
      <c r="AH37">
        <v>2</v>
      </c>
      <c r="AI37">
        <v>27551378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ROW(Source!A60)</f>
        <v>60</v>
      </c>
      <c r="B38">
        <v>27551379</v>
      </c>
      <c r="C38">
        <v>27551344</v>
      </c>
      <c r="D38">
        <v>24451440</v>
      </c>
      <c r="E38">
        <v>1</v>
      </c>
      <c r="F38">
        <v>1</v>
      </c>
      <c r="G38">
        <v>1</v>
      </c>
      <c r="H38">
        <v>2</v>
      </c>
      <c r="I38" t="s">
        <v>266</v>
      </c>
      <c r="J38" t="s">
        <v>267</v>
      </c>
      <c r="K38" t="s">
        <v>268</v>
      </c>
      <c r="L38">
        <v>1368</v>
      </c>
      <c r="N38">
        <v>1011</v>
      </c>
      <c r="O38" t="s">
        <v>236</v>
      </c>
      <c r="P38" t="s">
        <v>236</v>
      </c>
      <c r="Q38">
        <v>1</v>
      </c>
      <c r="X38">
        <v>2.3</v>
      </c>
      <c r="Y38">
        <v>0</v>
      </c>
      <c r="Z38">
        <v>123</v>
      </c>
      <c r="AA38">
        <v>13.5</v>
      </c>
      <c r="AB38">
        <v>0</v>
      </c>
      <c r="AC38">
        <v>0</v>
      </c>
      <c r="AD38">
        <v>1</v>
      </c>
      <c r="AE38">
        <v>0</v>
      </c>
      <c r="AG38">
        <v>2.3</v>
      </c>
      <c r="AH38">
        <v>2</v>
      </c>
      <c r="AI38">
        <v>27551379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ROW(Source!A60)</f>
        <v>60</v>
      </c>
      <c r="B39">
        <v>27551380</v>
      </c>
      <c r="C39">
        <v>27551344</v>
      </c>
      <c r="D39">
        <v>24451470</v>
      </c>
      <c r="E39">
        <v>1</v>
      </c>
      <c r="F39">
        <v>1</v>
      </c>
      <c r="G39">
        <v>1</v>
      </c>
      <c r="H39">
        <v>2</v>
      </c>
      <c r="I39" t="s">
        <v>269</v>
      </c>
      <c r="J39" t="s">
        <v>270</v>
      </c>
      <c r="K39" t="s">
        <v>271</v>
      </c>
      <c r="L39">
        <v>1368</v>
      </c>
      <c r="N39">
        <v>1011</v>
      </c>
      <c r="O39" t="s">
        <v>236</v>
      </c>
      <c r="P39" t="s">
        <v>236</v>
      </c>
      <c r="Q39">
        <v>1</v>
      </c>
      <c r="X39">
        <v>12.21</v>
      </c>
      <c r="Y39">
        <v>0</v>
      </c>
      <c r="Z39">
        <v>206.01</v>
      </c>
      <c r="AA39">
        <v>14.4</v>
      </c>
      <c r="AB39">
        <v>0</v>
      </c>
      <c r="AC39">
        <v>0</v>
      </c>
      <c r="AD39">
        <v>1</v>
      </c>
      <c r="AE39">
        <v>0</v>
      </c>
      <c r="AG39">
        <v>12.21</v>
      </c>
      <c r="AH39">
        <v>2</v>
      </c>
      <c r="AI39">
        <v>27551380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ROW(Source!A60)</f>
        <v>60</v>
      </c>
      <c r="B40">
        <v>27551381</v>
      </c>
      <c r="C40">
        <v>27551344</v>
      </c>
      <c r="D40">
        <v>24451524</v>
      </c>
      <c r="E40">
        <v>1</v>
      </c>
      <c r="F40">
        <v>1</v>
      </c>
      <c r="G40">
        <v>1</v>
      </c>
      <c r="H40">
        <v>2</v>
      </c>
      <c r="I40" t="s">
        <v>272</v>
      </c>
      <c r="J40" t="s">
        <v>273</v>
      </c>
      <c r="K40" t="s">
        <v>274</v>
      </c>
      <c r="L40">
        <v>1368</v>
      </c>
      <c r="N40">
        <v>1011</v>
      </c>
      <c r="O40" t="s">
        <v>236</v>
      </c>
      <c r="P40" t="s">
        <v>236</v>
      </c>
      <c r="Q40">
        <v>1</v>
      </c>
      <c r="X40">
        <v>1.04</v>
      </c>
      <c r="Y40">
        <v>0</v>
      </c>
      <c r="Z40">
        <v>110</v>
      </c>
      <c r="AA40">
        <v>11.6</v>
      </c>
      <c r="AB40">
        <v>0</v>
      </c>
      <c r="AC40">
        <v>0</v>
      </c>
      <c r="AD40">
        <v>1</v>
      </c>
      <c r="AE40">
        <v>0</v>
      </c>
      <c r="AG40">
        <v>1.04</v>
      </c>
      <c r="AH40">
        <v>2</v>
      </c>
      <c r="AI40">
        <v>27551381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ROW(Source!A60)</f>
        <v>60</v>
      </c>
      <c r="B41">
        <v>27551382</v>
      </c>
      <c r="C41">
        <v>27551344</v>
      </c>
      <c r="D41">
        <v>24472167</v>
      </c>
      <c r="E41">
        <v>1</v>
      </c>
      <c r="F41">
        <v>1</v>
      </c>
      <c r="G41">
        <v>1</v>
      </c>
      <c r="H41">
        <v>3</v>
      </c>
      <c r="I41" t="s">
        <v>332</v>
      </c>
      <c r="J41" t="s">
        <v>333</v>
      </c>
      <c r="K41" t="s">
        <v>334</v>
      </c>
      <c r="L41">
        <v>1339</v>
      </c>
      <c r="N41">
        <v>1007</v>
      </c>
      <c r="O41" t="s">
        <v>99</v>
      </c>
      <c r="P41" t="s">
        <v>99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G41">
        <v>0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ROW(Source!A60)</f>
        <v>60</v>
      </c>
      <c r="B42">
        <v>27551383</v>
      </c>
      <c r="C42">
        <v>27551344</v>
      </c>
      <c r="D42">
        <v>24472293</v>
      </c>
      <c r="E42">
        <v>1</v>
      </c>
      <c r="F42">
        <v>1</v>
      </c>
      <c r="G42">
        <v>1</v>
      </c>
      <c r="H42">
        <v>3</v>
      </c>
      <c r="I42" t="s">
        <v>275</v>
      </c>
      <c r="J42" t="s">
        <v>276</v>
      </c>
      <c r="K42" t="s">
        <v>277</v>
      </c>
      <c r="L42">
        <v>1339</v>
      </c>
      <c r="N42">
        <v>1007</v>
      </c>
      <c r="O42" t="s">
        <v>99</v>
      </c>
      <c r="P42" t="s">
        <v>99</v>
      </c>
      <c r="Q42">
        <v>1</v>
      </c>
      <c r="X42">
        <v>7</v>
      </c>
      <c r="Y42">
        <v>2.44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7</v>
      </c>
      <c r="AH42">
        <v>2</v>
      </c>
      <c r="AI42">
        <v>27551383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ROW(Source!A83)</f>
        <v>83</v>
      </c>
      <c r="B43">
        <v>27551475</v>
      </c>
      <c r="C43">
        <v>27551466</v>
      </c>
      <c r="D43">
        <v>24505038</v>
      </c>
      <c r="E43">
        <v>1</v>
      </c>
      <c r="F43">
        <v>1</v>
      </c>
      <c r="G43">
        <v>1</v>
      </c>
      <c r="H43">
        <v>1</v>
      </c>
      <c r="I43" t="s">
        <v>278</v>
      </c>
      <c r="K43" t="s">
        <v>279</v>
      </c>
      <c r="L43">
        <v>1369</v>
      </c>
      <c r="N43">
        <v>1013</v>
      </c>
      <c r="O43" t="s">
        <v>228</v>
      </c>
      <c r="P43" t="s">
        <v>228</v>
      </c>
      <c r="Q43">
        <v>1</v>
      </c>
      <c r="X43">
        <v>24.19</v>
      </c>
      <c r="Y43">
        <v>0</v>
      </c>
      <c r="Z43">
        <v>0</v>
      </c>
      <c r="AA43">
        <v>0</v>
      </c>
      <c r="AB43">
        <v>8.09</v>
      </c>
      <c r="AC43">
        <v>0</v>
      </c>
      <c r="AD43">
        <v>1</v>
      </c>
      <c r="AE43">
        <v>1</v>
      </c>
      <c r="AG43">
        <v>24.19</v>
      </c>
      <c r="AH43">
        <v>2</v>
      </c>
      <c r="AI43">
        <v>27551467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ROW(Source!A83)</f>
        <v>83</v>
      </c>
      <c r="B44">
        <v>27551476</v>
      </c>
      <c r="C44">
        <v>27551466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28</v>
      </c>
      <c r="K44" t="s">
        <v>229</v>
      </c>
      <c r="L44">
        <v>608254</v>
      </c>
      <c r="N44">
        <v>1013</v>
      </c>
      <c r="O44" t="s">
        <v>230</v>
      </c>
      <c r="P44" t="s">
        <v>230</v>
      </c>
      <c r="Q44">
        <v>1</v>
      </c>
      <c r="X44">
        <v>20.6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G44">
        <v>20.6</v>
      </c>
      <c r="AH44">
        <v>2</v>
      </c>
      <c r="AI44">
        <v>27551468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ROW(Source!A83)</f>
        <v>83</v>
      </c>
      <c r="B45">
        <v>27551477</v>
      </c>
      <c r="C45">
        <v>27551466</v>
      </c>
      <c r="D45">
        <v>24450908</v>
      </c>
      <c r="E45">
        <v>1</v>
      </c>
      <c r="F45">
        <v>1</v>
      </c>
      <c r="G45">
        <v>1</v>
      </c>
      <c r="H45">
        <v>2</v>
      </c>
      <c r="I45" t="s">
        <v>263</v>
      </c>
      <c r="J45" t="s">
        <v>264</v>
      </c>
      <c r="K45" t="s">
        <v>265</v>
      </c>
      <c r="L45">
        <v>1368</v>
      </c>
      <c r="N45">
        <v>1011</v>
      </c>
      <c r="O45" t="s">
        <v>236</v>
      </c>
      <c r="P45" t="s">
        <v>236</v>
      </c>
      <c r="Q45">
        <v>1</v>
      </c>
      <c r="X45">
        <v>2.46</v>
      </c>
      <c r="Y45">
        <v>0</v>
      </c>
      <c r="Z45">
        <v>99.89</v>
      </c>
      <c r="AA45">
        <v>10.06</v>
      </c>
      <c r="AB45">
        <v>0</v>
      </c>
      <c r="AC45">
        <v>0</v>
      </c>
      <c r="AD45">
        <v>1</v>
      </c>
      <c r="AE45">
        <v>0</v>
      </c>
      <c r="AG45">
        <v>2.46</v>
      </c>
      <c r="AH45">
        <v>2</v>
      </c>
      <c r="AI45">
        <v>27551469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ROW(Source!A83)</f>
        <v>83</v>
      </c>
      <c r="B46">
        <v>27551478</v>
      </c>
      <c r="C46">
        <v>27551466</v>
      </c>
      <c r="D46">
        <v>24451199</v>
      </c>
      <c r="E46">
        <v>1</v>
      </c>
      <c r="F46">
        <v>1</v>
      </c>
      <c r="G46">
        <v>1</v>
      </c>
      <c r="H46">
        <v>2</v>
      </c>
      <c r="I46" t="s">
        <v>257</v>
      </c>
      <c r="J46" t="s">
        <v>280</v>
      </c>
      <c r="K46" t="s">
        <v>281</v>
      </c>
      <c r="L46">
        <v>1368</v>
      </c>
      <c r="N46">
        <v>1011</v>
      </c>
      <c r="O46" t="s">
        <v>236</v>
      </c>
      <c r="P46" t="s">
        <v>236</v>
      </c>
      <c r="Q46">
        <v>1</v>
      </c>
      <c r="X46">
        <v>2.59</v>
      </c>
      <c r="Y46">
        <v>0</v>
      </c>
      <c r="Z46">
        <v>80.01</v>
      </c>
      <c r="AA46">
        <v>14.4</v>
      </c>
      <c r="AB46">
        <v>0</v>
      </c>
      <c r="AC46">
        <v>0</v>
      </c>
      <c r="AD46">
        <v>1</v>
      </c>
      <c r="AE46">
        <v>0</v>
      </c>
      <c r="AG46">
        <v>2.59</v>
      </c>
      <c r="AH46">
        <v>2</v>
      </c>
      <c r="AI46">
        <v>27551470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ROW(Source!A83)</f>
        <v>83</v>
      </c>
      <c r="B47">
        <v>27551479</v>
      </c>
      <c r="C47">
        <v>27551466</v>
      </c>
      <c r="D47">
        <v>24451440</v>
      </c>
      <c r="E47">
        <v>1</v>
      </c>
      <c r="F47">
        <v>1</v>
      </c>
      <c r="G47">
        <v>1</v>
      </c>
      <c r="H47">
        <v>2</v>
      </c>
      <c r="I47" t="s">
        <v>266</v>
      </c>
      <c r="J47" t="s">
        <v>267</v>
      </c>
      <c r="K47" t="s">
        <v>268</v>
      </c>
      <c r="L47">
        <v>1368</v>
      </c>
      <c r="N47">
        <v>1011</v>
      </c>
      <c r="O47" t="s">
        <v>236</v>
      </c>
      <c r="P47" t="s">
        <v>236</v>
      </c>
      <c r="Q47">
        <v>1</v>
      </c>
      <c r="X47">
        <v>2.3</v>
      </c>
      <c r="Y47">
        <v>0</v>
      </c>
      <c r="Z47">
        <v>123</v>
      </c>
      <c r="AA47">
        <v>13.5</v>
      </c>
      <c r="AB47">
        <v>0</v>
      </c>
      <c r="AC47">
        <v>0</v>
      </c>
      <c r="AD47">
        <v>1</v>
      </c>
      <c r="AE47">
        <v>0</v>
      </c>
      <c r="AG47">
        <v>2.3</v>
      </c>
      <c r="AH47">
        <v>2</v>
      </c>
      <c r="AI47">
        <v>27551471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ROW(Source!A83)</f>
        <v>83</v>
      </c>
      <c r="B48">
        <v>27551480</v>
      </c>
      <c r="C48">
        <v>27551466</v>
      </c>
      <c r="D48">
        <v>24451470</v>
      </c>
      <c r="E48">
        <v>1</v>
      </c>
      <c r="F48">
        <v>1</v>
      </c>
      <c r="G48">
        <v>1</v>
      </c>
      <c r="H48">
        <v>2</v>
      </c>
      <c r="I48" t="s">
        <v>269</v>
      </c>
      <c r="J48" t="s">
        <v>270</v>
      </c>
      <c r="K48" t="s">
        <v>271</v>
      </c>
      <c r="L48">
        <v>1368</v>
      </c>
      <c r="N48">
        <v>1011</v>
      </c>
      <c r="O48" t="s">
        <v>236</v>
      </c>
      <c r="P48" t="s">
        <v>236</v>
      </c>
      <c r="Q48">
        <v>1</v>
      </c>
      <c r="X48">
        <v>12.21</v>
      </c>
      <c r="Y48">
        <v>0</v>
      </c>
      <c r="Z48">
        <v>206.01</v>
      </c>
      <c r="AA48">
        <v>14.4</v>
      </c>
      <c r="AB48">
        <v>0</v>
      </c>
      <c r="AC48">
        <v>0</v>
      </c>
      <c r="AD48">
        <v>1</v>
      </c>
      <c r="AE48">
        <v>0</v>
      </c>
      <c r="AG48">
        <v>12.21</v>
      </c>
      <c r="AH48">
        <v>2</v>
      </c>
      <c r="AI48">
        <v>27551472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ROW(Source!A83)</f>
        <v>83</v>
      </c>
      <c r="B49">
        <v>27551481</v>
      </c>
      <c r="C49">
        <v>27551466</v>
      </c>
      <c r="D49">
        <v>24451524</v>
      </c>
      <c r="E49">
        <v>1</v>
      </c>
      <c r="F49">
        <v>1</v>
      </c>
      <c r="G49">
        <v>1</v>
      </c>
      <c r="H49">
        <v>2</v>
      </c>
      <c r="I49" t="s">
        <v>272</v>
      </c>
      <c r="J49" t="s">
        <v>273</v>
      </c>
      <c r="K49" t="s">
        <v>274</v>
      </c>
      <c r="L49">
        <v>1368</v>
      </c>
      <c r="N49">
        <v>1011</v>
      </c>
      <c r="O49" t="s">
        <v>236</v>
      </c>
      <c r="P49" t="s">
        <v>236</v>
      </c>
      <c r="Q49">
        <v>1</v>
      </c>
      <c r="X49">
        <v>1.04</v>
      </c>
      <c r="Y49">
        <v>0</v>
      </c>
      <c r="Z49">
        <v>110</v>
      </c>
      <c r="AA49">
        <v>11.6</v>
      </c>
      <c r="AB49">
        <v>0</v>
      </c>
      <c r="AC49">
        <v>0</v>
      </c>
      <c r="AD49">
        <v>1</v>
      </c>
      <c r="AE49">
        <v>0</v>
      </c>
      <c r="AG49">
        <v>1.04</v>
      </c>
      <c r="AH49">
        <v>2</v>
      </c>
      <c r="AI49">
        <v>27551473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ROW(Source!A83)</f>
        <v>83</v>
      </c>
      <c r="B50">
        <v>27551482</v>
      </c>
      <c r="C50">
        <v>27551466</v>
      </c>
      <c r="D50">
        <v>24472167</v>
      </c>
      <c r="E50">
        <v>1</v>
      </c>
      <c r="F50">
        <v>1</v>
      </c>
      <c r="G50">
        <v>1</v>
      </c>
      <c r="H50">
        <v>3</v>
      </c>
      <c r="I50" t="s">
        <v>332</v>
      </c>
      <c r="J50" t="s">
        <v>333</v>
      </c>
      <c r="K50" t="s">
        <v>334</v>
      </c>
      <c r="L50">
        <v>1339</v>
      </c>
      <c r="N50">
        <v>1007</v>
      </c>
      <c r="O50" t="s">
        <v>99</v>
      </c>
      <c r="P50" t="s">
        <v>99</v>
      </c>
      <c r="Q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G50">
        <v>0</v>
      </c>
      <c r="AH50">
        <v>3</v>
      </c>
      <c r="AI50">
        <v>-1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ROW(Source!A83)</f>
        <v>83</v>
      </c>
      <c r="B51">
        <v>27551483</v>
      </c>
      <c r="C51">
        <v>27551466</v>
      </c>
      <c r="D51">
        <v>24472293</v>
      </c>
      <c r="E51">
        <v>1</v>
      </c>
      <c r="F51">
        <v>1</v>
      </c>
      <c r="G51">
        <v>1</v>
      </c>
      <c r="H51">
        <v>3</v>
      </c>
      <c r="I51" t="s">
        <v>275</v>
      </c>
      <c r="J51" t="s">
        <v>276</v>
      </c>
      <c r="K51" t="s">
        <v>277</v>
      </c>
      <c r="L51">
        <v>1339</v>
      </c>
      <c r="N51">
        <v>1007</v>
      </c>
      <c r="O51" t="s">
        <v>99</v>
      </c>
      <c r="P51" t="s">
        <v>99</v>
      </c>
      <c r="Q51">
        <v>1</v>
      </c>
      <c r="X51">
        <v>7</v>
      </c>
      <c r="Y51">
        <v>2.44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7</v>
      </c>
      <c r="AH51">
        <v>2</v>
      </c>
      <c r="AI51">
        <v>27551474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ROW(Source!A85)</f>
        <v>85</v>
      </c>
      <c r="B52">
        <v>27551528</v>
      </c>
      <c r="C52">
        <v>27551486</v>
      </c>
      <c r="D52">
        <v>24506163</v>
      </c>
      <c r="E52">
        <v>1</v>
      </c>
      <c r="F52">
        <v>1</v>
      </c>
      <c r="G52">
        <v>1</v>
      </c>
      <c r="H52">
        <v>1</v>
      </c>
      <c r="I52" t="s">
        <v>282</v>
      </c>
      <c r="K52" t="s">
        <v>283</v>
      </c>
      <c r="L52">
        <v>1369</v>
      </c>
      <c r="N52">
        <v>1013</v>
      </c>
      <c r="O52" t="s">
        <v>228</v>
      </c>
      <c r="P52" t="s">
        <v>228</v>
      </c>
      <c r="Q52">
        <v>1</v>
      </c>
      <c r="X52">
        <v>38.3</v>
      </c>
      <c r="Y52">
        <v>0</v>
      </c>
      <c r="Z52">
        <v>0</v>
      </c>
      <c r="AA52">
        <v>0</v>
      </c>
      <c r="AB52">
        <v>9.62</v>
      </c>
      <c r="AC52">
        <v>0</v>
      </c>
      <c r="AD52">
        <v>1</v>
      </c>
      <c r="AE52">
        <v>1</v>
      </c>
      <c r="AG52">
        <v>38.3</v>
      </c>
      <c r="AH52">
        <v>2</v>
      </c>
      <c r="AI52">
        <v>27551528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ROW(Source!A85)</f>
        <v>85</v>
      </c>
      <c r="B53">
        <v>27551529</v>
      </c>
      <c r="C53">
        <v>27551486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28</v>
      </c>
      <c r="K53" t="s">
        <v>229</v>
      </c>
      <c r="L53">
        <v>608254</v>
      </c>
      <c r="N53">
        <v>1013</v>
      </c>
      <c r="O53" t="s">
        <v>230</v>
      </c>
      <c r="P53" t="s">
        <v>230</v>
      </c>
      <c r="Q53">
        <v>1</v>
      </c>
      <c r="X53">
        <v>19.08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G53">
        <v>19.08</v>
      </c>
      <c r="AH53">
        <v>2</v>
      </c>
      <c r="AI53">
        <v>27551529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ROW(Source!A85)</f>
        <v>85</v>
      </c>
      <c r="B54">
        <v>27551530</v>
      </c>
      <c r="C54">
        <v>27551486</v>
      </c>
      <c r="D54">
        <v>24450839</v>
      </c>
      <c r="E54">
        <v>1</v>
      </c>
      <c r="F54">
        <v>1</v>
      </c>
      <c r="G54">
        <v>1</v>
      </c>
      <c r="H54">
        <v>2</v>
      </c>
      <c r="I54" t="s">
        <v>233</v>
      </c>
      <c r="J54" t="s">
        <v>234</v>
      </c>
      <c r="K54" t="s">
        <v>235</v>
      </c>
      <c r="L54">
        <v>1368</v>
      </c>
      <c r="N54">
        <v>1011</v>
      </c>
      <c r="O54" t="s">
        <v>236</v>
      </c>
      <c r="P54" t="s">
        <v>236</v>
      </c>
      <c r="Q54">
        <v>1</v>
      </c>
      <c r="X54">
        <v>0.03</v>
      </c>
      <c r="Y54">
        <v>0</v>
      </c>
      <c r="Z54">
        <v>112</v>
      </c>
      <c r="AA54">
        <v>13.5</v>
      </c>
      <c r="AB54">
        <v>0</v>
      </c>
      <c r="AC54">
        <v>0</v>
      </c>
      <c r="AD54">
        <v>1</v>
      </c>
      <c r="AE54">
        <v>0</v>
      </c>
      <c r="AG54">
        <v>0.03</v>
      </c>
      <c r="AH54">
        <v>2</v>
      </c>
      <c r="AI54">
        <v>27551530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ROW(Source!A85)</f>
        <v>85</v>
      </c>
      <c r="B55">
        <v>27551531</v>
      </c>
      <c r="C55">
        <v>27551486</v>
      </c>
      <c r="D55">
        <v>24451446</v>
      </c>
      <c r="E55">
        <v>1</v>
      </c>
      <c r="F55">
        <v>1</v>
      </c>
      <c r="G55">
        <v>1</v>
      </c>
      <c r="H55">
        <v>2</v>
      </c>
      <c r="I55" t="s">
        <v>284</v>
      </c>
      <c r="J55" t="s">
        <v>285</v>
      </c>
      <c r="K55" t="s">
        <v>286</v>
      </c>
      <c r="L55">
        <v>1368</v>
      </c>
      <c r="N55">
        <v>1011</v>
      </c>
      <c r="O55" t="s">
        <v>236</v>
      </c>
      <c r="P55" t="s">
        <v>236</v>
      </c>
      <c r="Q55">
        <v>1</v>
      </c>
      <c r="X55">
        <v>1.4</v>
      </c>
      <c r="Y55">
        <v>0</v>
      </c>
      <c r="Z55">
        <v>17.2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1.4</v>
      </c>
      <c r="AH55">
        <v>2</v>
      </c>
      <c r="AI55">
        <v>27551531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ROW(Source!A85)</f>
        <v>85</v>
      </c>
      <c r="B56">
        <v>27551532</v>
      </c>
      <c r="C56">
        <v>27551486</v>
      </c>
      <c r="D56">
        <v>24451465</v>
      </c>
      <c r="E56">
        <v>1</v>
      </c>
      <c r="F56">
        <v>1</v>
      </c>
      <c r="G56">
        <v>1</v>
      </c>
      <c r="H56">
        <v>2</v>
      </c>
      <c r="I56" t="s">
        <v>287</v>
      </c>
      <c r="J56" t="s">
        <v>288</v>
      </c>
      <c r="K56" t="s">
        <v>289</v>
      </c>
      <c r="L56">
        <v>1368</v>
      </c>
      <c r="N56">
        <v>1011</v>
      </c>
      <c r="O56" t="s">
        <v>236</v>
      </c>
      <c r="P56" t="s">
        <v>236</v>
      </c>
      <c r="Q56">
        <v>1</v>
      </c>
      <c r="X56">
        <v>3.96</v>
      </c>
      <c r="Y56">
        <v>0</v>
      </c>
      <c r="Z56">
        <v>75</v>
      </c>
      <c r="AA56">
        <v>11.6</v>
      </c>
      <c r="AB56">
        <v>0</v>
      </c>
      <c r="AC56">
        <v>0</v>
      </c>
      <c r="AD56">
        <v>1</v>
      </c>
      <c r="AE56">
        <v>0</v>
      </c>
      <c r="AG56">
        <v>3.96</v>
      </c>
      <c r="AH56">
        <v>2</v>
      </c>
      <c r="AI56">
        <v>27551532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ROW(Source!A85)</f>
        <v>85</v>
      </c>
      <c r="B57">
        <v>27551533</v>
      </c>
      <c r="C57">
        <v>27551486</v>
      </c>
      <c r="D57">
        <v>24451466</v>
      </c>
      <c r="E57">
        <v>1</v>
      </c>
      <c r="F57">
        <v>1</v>
      </c>
      <c r="G57">
        <v>1</v>
      </c>
      <c r="H57">
        <v>2</v>
      </c>
      <c r="I57" t="s">
        <v>290</v>
      </c>
      <c r="J57" t="s">
        <v>291</v>
      </c>
      <c r="K57" t="s">
        <v>292</v>
      </c>
      <c r="L57">
        <v>1368</v>
      </c>
      <c r="N57">
        <v>1011</v>
      </c>
      <c r="O57" t="s">
        <v>236</v>
      </c>
      <c r="P57" t="s">
        <v>236</v>
      </c>
      <c r="Q57">
        <v>1</v>
      </c>
      <c r="X57">
        <v>11.51</v>
      </c>
      <c r="Y57">
        <v>0</v>
      </c>
      <c r="Z57">
        <v>121</v>
      </c>
      <c r="AA57">
        <v>14.4</v>
      </c>
      <c r="AB57">
        <v>0</v>
      </c>
      <c r="AC57">
        <v>0</v>
      </c>
      <c r="AD57">
        <v>1</v>
      </c>
      <c r="AE57">
        <v>0</v>
      </c>
      <c r="AG57">
        <v>11.51</v>
      </c>
      <c r="AH57">
        <v>2</v>
      </c>
      <c r="AI57">
        <v>27551533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ROW(Source!A85)</f>
        <v>85</v>
      </c>
      <c r="B58">
        <v>27551534</v>
      </c>
      <c r="C58">
        <v>27551486</v>
      </c>
      <c r="D58">
        <v>24451524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236</v>
      </c>
      <c r="P58" t="s">
        <v>236</v>
      </c>
      <c r="Q58">
        <v>1</v>
      </c>
      <c r="X58">
        <v>0.39</v>
      </c>
      <c r="Y58">
        <v>0</v>
      </c>
      <c r="Z58">
        <v>110</v>
      </c>
      <c r="AA58">
        <v>11.6</v>
      </c>
      <c r="AB58">
        <v>0</v>
      </c>
      <c r="AC58">
        <v>0</v>
      </c>
      <c r="AD58">
        <v>1</v>
      </c>
      <c r="AE58">
        <v>0</v>
      </c>
      <c r="AG58">
        <v>0.39</v>
      </c>
      <c r="AH58">
        <v>2</v>
      </c>
      <c r="AI58">
        <v>27551534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ROW(Source!A85)</f>
        <v>85</v>
      </c>
      <c r="B59">
        <v>27551535</v>
      </c>
      <c r="C59">
        <v>27551486</v>
      </c>
      <c r="D59">
        <v>24451546</v>
      </c>
      <c r="E59">
        <v>1</v>
      </c>
      <c r="F59">
        <v>1</v>
      </c>
      <c r="G59">
        <v>1</v>
      </c>
      <c r="H59">
        <v>2</v>
      </c>
      <c r="I59" t="s">
        <v>293</v>
      </c>
      <c r="J59" t="s">
        <v>294</v>
      </c>
      <c r="K59" t="s">
        <v>295</v>
      </c>
      <c r="L59">
        <v>1368</v>
      </c>
      <c r="N59">
        <v>1011</v>
      </c>
      <c r="O59" t="s">
        <v>236</v>
      </c>
      <c r="P59" t="s">
        <v>236</v>
      </c>
      <c r="Q59">
        <v>1</v>
      </c>
      <c r="X59">
        <v>3.19</v>
      </c>
      <c r="Y59">
        <v>0</v>
      </c>
      <c r="Z59">
        <v>195.2</v>
      </c>
      <c r="AA59">
        <v>14.4</v>
      </c>
      <c r="AB59">
        <v>0</v>
      </c>
      <c r="AC59">
        <v>0</v>
      </c>
      <c r="AD59">
        <v>1</v>
      </c>
      <c r="AE59">
        <v>0</v>
      </c>
      <c r="AG59">
        <v>3.19</v>
      </c>
      <c r="AH59">
        <v>2</v>
      </c>
      <c r="AI59">
        <v>27551535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ROW(Source!A85)</f>
        <v>85</v>
      </c>
      <c r="B60">
        <v>27551536</v>
      </c>
      <c r="C60">
        <v>27551486</v>
      </c>
      <c r="D60">
        <v>24452575</v>
      </c>
      <c r="E60">
        <v>1</v>
      </c>
      <c r="F60">
        <v>1</v>
      </c>
      <c r="G60">
        <v>1</v>
      </c>
      <c r="H60">
        <v>2</v>
      </c>
      <c r="I60" t="s">
        <v>237</v>
      </c>
      <c r="J60" t="s">
        <v>238</v>
      </c>
      <c r="K60" t="s">
        <v>239</v>
      </c>
      <c r="L60">
        <v>1368</v>
      </c>
      <c r="N60">
        <v>1011</v>
      </c>
      <c r="O60" t="s">
        <v>236</v>
      </c>
      <c r="P60" t="s">
        <v>236</v>
      </c>
      <c r="Q60">
        <v>1</v>
      </c>
      <c r="X60">
        <v>0.04</v>
      </c>
      <c r="Y60">
        <v>0</v>
      </c>
      <c r="Z60">
        <v>87.17</v>
      </c>
      <c r="AA60">
        <v>11.6</v>
      </c>
      <c r="AB60">
        <v>0</v>
      </c>
      <c r="AC60">
        <v>0</v>
      </c>
      <c r="AD60">
        <v>1</v>
      </c>
      <c r="AE60">
        <v>0</v>
      </c>
      <c r="AG60">
        <v>0.04</v>
      </c>
      <c r="AH60">
        <v>2</v>
      </c>
      <c r="AI60">
        <v>27551536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ROW(Source!A85)</f>
        <v>85</v>
      </c>
      <c r="B61">
        <v>27551537</v>
      </c>
      <c r="C61">
        <v>27551486</v>
      </c>
      <c r="D61">
        <v>24453737</v>
      </c>
      <c r="E61">
        <v>1</v>
      </c>
      <c r="F61">
        <v>1</v>
      </c>
      <c r="G61">
        <v>1</v>
      </c>
      <c r="H61">
        <v>3</v>
      </c>
      <c r="I61" t="s">
        <v>296</v>
      </c>
      <c r="J61" t="s">
        <v>297</v>
      </c>
      <c r="K61" t="s">
        <v>298</v>
      </c>
      <c r="L61">
        <v>1348</v>
      </c>
      <c r="N61">
        <v>1009</v>
      </c>
      <c r="O61" t="s">
        <v>87</v>
      </c>
      <c r="P61" t="s">
        <v>87</v>
      </c>
      <c r="Q61">
        <v>1000</v>
      </c>
      <c r="X61">
        <v>0.0062</v>
      </c>
      <c r="Y61">
        <v>5989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0.0062</v>
      </c>
      <c r="AH61">
        <v>2</v>
      </c>
      <c r="AI61">
        <v>27551537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ROW(Source!A85)</f>
        <v>85</v>
      </c>
      <c r="B62">
        <v>27551538</v>
      </c>
      <c r="C62">
        <v>27551486</v>
      </c>
      <c r="D62">
        <v>24454303</v>
      </c>
      <c r="E62">
        <v>1</v>
      </c>
      <c r="F62">
        <v>1</v>
      </c>
      <c r="G62">
        <v>1</v>
      </c>
      <c r="H62">
        <v>3</v>
      </c>
      <c r="I62" t="s">
        <v>299</v>
      </c>
      <c r="J62" t="s">
        <v>300</v>
      </c>
      <c r="K62" t="s">
        <v>301</v>
      </c>
      <c r="L62">
        <v>1348</v>
      </c>
      <c r="N62">
        <v>1009</v>
      </c>
      <c r="O62" t="s">
        <v>87</v>
      </c>
      <c r="P62" t="s">
        <v>87</v>
      </c>
      <c r="Q62">
        <v>1000</v>
      </c>
      <c r="X62">
        <v>0.0108</v>
      </c>
      <c r="Y62">
        <v>1690.01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0.0108</v>
      </c>
      <c r="AH62">
        <v>2</v>
      </c>
      <c r="AI62">
        <v>27551538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ROW(Source!A85)</f>
        <v>85</v>
      </c>
      <c r="B63">
        <v>27551539</v>
      </c>
      <c r="C63">
        <v>27551486</v>
      </c>
      <c r="D63">
        <v>24456400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1339</v>
      </c>
      <c r="N63">
        <v>1007</v>
      </c>
      <c r="O63" t="s">
        <v>99</v>
      </c>
      <c r="P63" t="s">
        <v>99</v>
      </c>
      <c r="Q63">
        <v>1</v>
      </c>
      <c r="X63">
        <v>0.15</v>
      </c>
      <c r="Y63">
        <v>1287.01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0.15</v>
      </c>
      <c r="AH63">
        <v>2</v>
      </c>
      <c r="AI63">
        <v>27551539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ROW(Source!A85)</f>
        <v>85</v>
      </c>
      <c r="B64">
        <v>27551540</v>
      </c>
      <c r="C64">
        <v>27551486</v>
      </c>
      <c r="D64">
        <v>24472221</v>
      </c>
      <c r="E64">
        <v>1</v>
      </c>
      <c r="F64">
        <v>1</v>
      </c>
      <c r="G64">
        <v>1</v>
      </c>
      <c r="H64">
        <v>3</v>
      </c>
      <c r="I64" t="s">
        <v>305</v>
      </c>
      <c r="J64" t="s">
        <v>306</v>
      </c>
      <c r="K64" t="s">
        <v>307</v>
      </c>
      <c r="L64">
        <v>1348</v>
      </c>
      <c r="N64">
        <v>1009</v>
      </c>
      <c r="O64" t="s">
        <v>87</v>
      </c>
      <c r="P64" t="s">
        <v>87</v>
      </c>
      <c r="Q64">
        <v>1000</v>
      </c>
      <c r="X64">
        <v>96.6</v>
      </c>
      <c r="Y64">
        <v>535.5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96.6</v>
      </c>
      <c r="AH64">
        <v>2</v>
      </c>
      <c r="AI64">
        <v>27551540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ROW(Source!A86)</f>
        <v>86</v>
      </c>
      <c r="B65">
        <v>27551541</v>
      </c>
      <c r="C65">
        <v>27551516</v>
      </c>
      <c r="D65">
        <v>24506163</v>
      </c>
      <c r="E65">
        <v>1</v>
      </c>
      <c r="F65">
        <v>1</v>
      </c>
      <c r="G65">
        <v>1</v>
      </c>
      <c r="H65">
        <v>1</v>
      </c>
      <c r="I65" t="s">
        <v>282</v>
      </c>
      <c r="K65" t="s">
        <v>283</v>
      </c>
      <c r="L65">
        <v>1369</v>
      </c>
      <c r="N65">
        <v>1013</v>
      </c>
      <c r="O65" t="s">
        <v>228</v>
      </c>
      <c r="P65" t="s">
        <v>228</v>
      </c>
      <c r="Q65">
        <v>1</v>
      </c>
      <c r="X65">
        <v>0.09</v>
      </c>
      <c r="Y65">
        <v>0</v>
      </c>
      <c r="Z65">
        <v>0</v>
      </c>
      <c r="AA65">
        <v>0</v>
      </c>
      <c r="AB65">
        <v>9.62</v>
      </c>
      <c r="AC65">
        <v>0</v>
      </c>
      <c r="AD65">
        <v>1</v>
      </c>
      <c r="AE65">
        <v>1</v>
      </c>
      <c r="AF65" t="s">
        <v>122</v>
      </c>
      <c r="AG65">
        <v>0.18</v>
      </c>
      <c r="AH65">
        <v>2</v>
      </c>
      <c r="AI65">
        <v>27551541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ROW(Source!A86)</f>
        <v>86</v>
      </c>
      <c r="B66">
        <v>27551542</v>
      </c>
      <c r="C66">
        <v>27551516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28</v>
      </c>
      <c r="K66" t="s">
        <v>229</v>
      </c>
      <c r="L66">
        <v>608254</v>
      </c>
      <c r="N66">
        <v>1013</v>
      </c>
      <c r="O66" t="s">
        <v>230</v>
      </c>
      <c r="P66" t="s">
        <v>230</v>
      </c>
      <c r="Q66">
        <v>1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122</v>
      </c>
      <c r="AG66">
        <v>0</v>
      </c>
      <c r="AH66">
        <v>2</v>
      </c>
      <c r="AI66">
        <v>27551542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ROW(Source!A86)</f>
        <v>86</v>
      </c>
      <c r="B67">
        <v>27551543</v>
      </c>
      <c r="C67">
        <v>27551516</v>
      </c>
      <c r="D67">
        <v>24451446</v>
      </c>
      <c r="E67">
        <v>1</v>
      </c>
      <c r="F67">
        <v>1</v>
      </c>
      <c r="G67">
        <v>1</v>
      </c>
      <c r="H67">
        <v>2</v>
      </c>
      <c r="I67" t="s">
        <v>284</v>
      </c>
      <c r="J67" t="s">
        <v>285</v>
      </c>
      <c r="K67" t="s">
        <v>286</v>
      </c>
      <c r="L67">
        <v>1368</v>
      </c>
      <c r="N67">
        <v>1011</v>
      </c>
      <c r="O67" t="s">
        <v>236</v>
      </c>
      <c r="P67" t="s">
        <v>236</v>
      </c>
      <c r="Q67">
        <v>1</v>
      </c>
      <c r="X67">
        <v>0.18</v>
      </c>
      <c r="Y67">
        <v>0</v>
      </c>
      <c r="Z67">
        <v>17.2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122</v>
      </c>
      <c r="AG67">
        <v>0.36</v>
      </c>
      <c r="AH67">
        <v>2</v>
      </c>
      <c r="AI67">
        <v>27551543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ROW(Source!A86)</f>
        <v>86</v>
      </c>
      <c r="B68">
        <v>27551544</v>
      </c>
      <c r="C68">
        <v>27551516</v>
      </c>
      <c r="D68">
        <v>24454303</v>
      </c>
      <c r="E68">
        <v>1</v>
      </c>
      <c r="F68">
        <v>1</v>
      </c>
      <c r="G68">
        <v>1</v>
      </c>
      <c r="H68">
        <v>3</v>
      </c>
      <c r="I68" t="s">
        <v>299</v>
      </c>
      <c r="J68" t="s">
        <v>300</v>
      </c>
      <c r="K68" t="s">
        <v>301</v>
      </c>
      <c r="L68">
        <v>1348</v>
      </c>
      <c r="N68">
        <v>1009</v>
      </c>
      <c r="O68" t="s">
        <v>87</v>
      </c>
      <c r="P68" t="s">
        <v>87</v>
      </c>
      <c r="Q68">
        <v>1000</v>
      </c>
      <c r="X68">
        <v>0.0014</v>
      </c>
      <c r="Y68">
        <v>1690.01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122</v>
      </c>
      <c r="AG68">
        <v>0.0028</v>
      </c>
      <c r="AH68">
        <v>2</v>
      </c>
      <c r="AI68">
        <v>27551544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ROW(Source!A86)</f>
        <v>86</v>
      </c>
      <c r="B69">
        <v>27551545</v>
      </c>
      <c r="C69">
        <v>27551516</v>
      </c>
      <c r="D69">
        <v>24472221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1348</v>
      </c>
      <c r="N69">
        <v>1009</v>
      </c>
      <c r="O69" t="s">
        <v>87</v>
      </c>
      <c r="P69" t="s">
        <v>87</v>
      </c>
      <c r="Q69">
        <v>1000</v>
      </c>
      <c r="X69">
        <v>12.1</v>
      </c>
      <c r="Y69">
        <v>535.5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122</v>
      </c>
      <c r="AG69">
        <v>24.2</v>
      </c>
      <c r="AH69">
        <v>2</v>
      </c>
      <c r="AI69">
        <v>27551545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ROW(Source!A108)</f>
        <v>108</v>
      </c>
      <c r="B70">
        <v>27553686</v>
      </c>
      <c r="C70">
        <v>27553677</v>
      </c>
      <c r="D70">
        <v>24505038</v>
      </c>
      <c r="E70">
        <v>1</v>
      </c>
      <c r="F70">
        <v>1</v>
      </c>
      <c r="G70">
        <v>1</v>
      </c>
      <c r="H70">
        <v>1</v>
      </c>
      <c r="I70" t="s">
        <v>278</v>
      </c>
      <c r="K70" t="s">
        <v>279</v>
      </c>
      <c r="L70">
        <v>1369</v>
      </c>
      <c r="N70">
        <v>1013</v>
      </c>
      <c r="O70" t="s">
        <v>228</v>
      </c>
      <c r="P70" t="s">
        <v>228</v>
      </c>
      <c r="Q70">
        <v>1</v>
      </c>
      <c r="X70">
        <v>24.19</v>
      </c>
      <c r="Y70">
        <v>0</v>
      </c>
      <c r="Z70">
        <v>0</v>
      </c>
      <c r="AA70">
        <v>0</v>
      </c>
      <c r="AB70">
        <v>8.09</v>
      </c>
      <c r="AC70">
        <v>0</v>
      </c>
      <c r="AD70">
        <v>1</v>
      </c>
      <c r="AE70">
        <v>1</v>
      </c>
      <c r="AG70">
        <v>24.19</v>
      </c>
      <c r="AH70">
        <v>2</v>
      </c>
      <c r="AI70">
        <v>27553678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ROW(Source!A108)</f>
        <v>108</v>
      </c>
      <c r="B71">
        <v>27553687</v>
      </c>
      <c r="C71">
        <v>27553677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28</v>
      </c>
      <c r="K71" t="s">
        <v>229</v>
      </c>
      <c r="L71">
        <v>608254</v>
      </c>
      <c r="N71">
        <v>1013</v>
      </c>
      <c r="O71" t="s">
        <v>230</v>
      </c>
      <c r="P71" t="s">
        <v>230</v>
      </c>
      <c r="Q71">
        <v>1</v>
      </c>
      <c r="X71">
        <v>20.6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G71">
        <v>20.6</v>
      </c>
      <c r="AH71">
        <v>2</v>
      </c>
      <c r="AI71">
        <v>27553679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ROW(Source!A108)</f>
        <v>108</v>
      </c>
      <c r="B72">
        <v>27553688</v>
      </c>
      <c r="C72">
        <v>27553677</v>
      </c>
      <c r="D72">
        <v>24450908</v>
      </c>
      <c r="E72">
        <v>1</v>
      </c>
      <c r="F72">
        <v>1</v>
      </c>
      <c r="G72">
        <v>1</v>
      </c>
      <c r="H72">
        <v>2</v>
      </c>
      <c r="I72" t="s">
        <v>263</v>
      </c>
      <c r="J72" t="s">
        <v>264</v>
      </c>
      <c r="K72" t="s">
        <v>265</v>
      </c>
      <c r="L72">
        <v>1368</v>
      </c>
      <c r="N72">
        <v>1011</v>
      </c>
      <c r="O72" t="s">
        <v>236</v>
      </c>
      <c r="P72" t="s">
        <v>236</v>
      </c>
      <c r="Q72">
        <v>1</v>
      </c>
      <c r="X72">
        <v>2.46</v>
      </c>
      <c r="Y72">
        <v>0</v>
      </c>
      <c r="Z72">
        <v>99.89</v>
      </c>
      <c r="AA72">
        <v>10.06</v>
      </c>
      <c r="AB72">
        <v>0</v>
      </c>
      <c r="AC72">
        <v>0</v>
      </c>
      <c r="AD72">
        <v>1</v>
      </c>
      <c r="AE72">
        <v>0</v>
      </c>
      <c r="AG72">
        <v>2.46</v>
      </c>
      <c r="AH72">
        <v>2</v>
      </c>
      <c r="AI72">
        <v>27553680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ROW(Source!A108)</f>
        <v>108</v>
      </c>
      <c r="B73">
        <v>27553689</v>
      </c>
      <c r="C73">
        <v>27553677</v>
      </c>
      <c r="D73">
        <v>24451199</v>
      </c>
      <c r="E73">
        <v>1</v>
      </c>
      <c r="F73">
        <v>1</v>
      </c>
      <c r="G73">
        <v>1</v>
      </c>
      <c r="H73">
        <v>2</v>
      </c>
      <c r="I73" t="s">
        <v>257</v>
      </c>
      <c r="J73" t="s">
        <v>280</v>
      </c>
      <c r="K73" t="s">
        <v>281</v>
      </c>
      <c r="L73">
        <v>1368</v>
      </c>
      <c r="N73">
        <v>1011</v>
      </c>
      <c r="O73" t="s">
        <v>236</v>
      </c>
      <c r="P73" t="s">
        <v>236</v>
      </c>
      <c r="Q73">
        <v>1</v>
      </c>
      <c r="X73">
        <v>2.59</v>
      </c>
      <c r="Y73">
        <v>0</v>
      </c>
      <c r="Z73">
        <v>80.01</v>
      </c>
      <c r="AA73">
        <v>14.4</v>
      </c>
      <c r="AB73">
        <v>0</v>
      </c>
      <c r="AC73">
        <v>0</v>
      </c>
      <c r="AD73">
        <v>1</v>
      </c>
      <c r="AE73">
        <v>0</v>
      </c>
      <c r="AG73">
        <v>2.59</v>
      </c>
      <c r="AH73">
        <v>2</v>
      </c>
      <c r="AI73">
        <v>27553681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ROW(Source!A108)</f>
        <v>108</v>
      </c>
      <c r="B74">
        <v>27553690</v>
      </c>
      <c r="C74">
        <v>27553677</v>
      </c>
      <c r="D74">
        <v>24451440</v>
      </c>
      <c r="E74">
        <v>1</v>
      </c>
      <c r="F74">
        <v>1</v>
      </c>
      <c r="G74">
        <v>1</v>
      </c>
      <c r="H74">
        <v>2</v>
      </c>
      <c r="I74" t="s">
        <v>266</v>
      </c>
      <c r="J74" t="s">
        <v>267</v>
      </c>
      <c r="K74" t="s">
        <v>268</v>
      </c>
      <c r="L74">
        <v>1368</v>
      </c>
      <c r="N74">
        <v>1011</v>
      </c>
      <c r="O74" t="s">
        <v>236</v>
      </c>
      <c r="P74" t="s">
        <v>236</v>
      </c>
      <c r="Q74">
        <v>1</v>
      </c>
      <c r="X74">
        <v>2.3</v>
      </c>
      <c r="Y74">
        <v>0</v>
      </c>
      <c r="Z74">
        <v>123</v>
      </c>
      <c r="AA74">
        <v>13.5</v>
      </c>
      <c r="AB74">
        <v>0</v>
      </c>
      <c r="AC74">
        <v>0</v>
      </c>
      <c r="AD74">
        <v>1</v>
      </c>
      <c r="AE74">
        <v>0</v>
      </c>
      <c r="AG74">
        <v>2.3</v>
      </c>
      <c r="AH74">
        <v>2</v>
      </c>
      <c r="AI74">
        <v>27553682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ROW(Source!A108)</f>
        <v>108</v>
      </c>
      <c r="B75">
        <v>27553691</v>
      </c>
      <c r="C75">
        <v>27553677</v>
      </c>
      <c r="D75">
        <v>24451470</v>
      </c>
      <c r="E75">
        <v>1</v>
      </c>
      <c r="F75">
        <v>1</v>
      </c>
      <c r="G75">
        <v>1</v>
      </c>
      <c r="H75">
        <v>2</v>
      </c>
      <c r="I75" t="s">
        <v>269</v>
      </c>
      <c r="J75" t="s">
        <v>270</v>
      </c>
      <c r="K75" t="s">
        <v>271</v>
      </c>
      <c r="L75">
        <v>1368</v>
      </c>
      <c r="N75">
        <v>1011</v>
      </c>
      <c r="O75" t="s">
        <v>236</v>
      </c>
      <c r="P75" t="s">
        <v>236</v>
      </c>
      <c r="Q75">
        <v>1</v>
      </c>
      <c r="X75">
        <v>12.21</v>
      </c>
      <c r="Y75">
        <v>0</v>
      </c>
      <c r="Z75">
        <v>206.01</v>
      </c>
      <c r="AA75">
        <v>14.4</v>
      </c>
      <c r="AB75">
        <v>0</v>
      </c>
      <c r="AC75">
        <v>0</v>
      </c>
      <c r="AD75">
        <v>1</v>
      </c>
      <c r="AE75">
        <v>0</v>
      </c>
      <c r="AG75">
        <v>12.21</v>
      </c>
      <c r="AH75">
        <v>2</v>
      </c>
      <c r="AI75">
        <v>27553683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ROW(Source!A108)</f>
        <v>108</v>
      </c>
      <c r="B76">
        <v>27553692</v>
      </c>
      <c r="C76">
        <v>27553677</v>
      </c>
      <c r="D76">
        <v>24451524</v>
      </c>
      <c r="E76">
        <v>1</v>
      </c>
      <c r="F76">
        <v>1</v>
      </c>
      <c r="G76">
        <v>1</v>
      </c>
      <c r="H76">
        <v>2</v>
      </c>
      <c r="I76" t="s">
        <v>272</v>
      </c>
      <c r="J76" t="s">
        <v>273</v>
      </c>
      <c r="K76" t="s">
        <v>274</v>
      </c>
      <c r="L76">
        <v>1368</v>
      </c>
      <c r="N76">
        <v>1011</v>
      </c>
      <c r="O76" t="s">
        <v>236</v>
      </c>
      <c r="P76" t="s">
        <v>236</v>
      </c>
      <c r="Q76">
        <v>1</v>
      </c>
      <c r="X76">
        <v>1.04</v>
      </c>
      <c r="Y76">
        <v>0</v>
      </c>
      <c r="Z76">
        <v>110</v>
      </c>
      <c r="AA76">
        <v>11.6</v>
      </c>
      <c r="AB76">
        <v>0</v>
      </c>
      <c r="AC76">
        <v>0</v>
      </c>
      <c r="AD76">
        <v>1</v>
      </c>
      <c r="AE76">
        <v>0</v>
      </c>
      <c r="AG76">
        <v>1.04</v>
      </c>
      <c r="AH76">
        <v>2</v>
      </c>
      <c r="AI76">
        <v>27553684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ROW(Source!A108)</f>
        <v>108</v>
      </c>
      <c r="B77">
        <v>27553693</v>
      </c>
      <c r="C77">
        <v>27553677</v>
      </c>
      <c r="D77">
        <v>24472167</v>
      </c>
      <c r="E77">
        <v>1</v>
      </c>
      <c r="F77">
        <v>1</v>
      </c>
      <c r="G77">
        <v>1</v>
      </c>
      <c r="H77">
        <v>3</v>
      </c>
      <c r="I77" t="s">
        <v>332</v>
      </c>
      <c r="J77" t="s">
        <v>333</v>
      </c>
      <c r="K77" t="s">
        <v>334</v>
      </c>
      <c r="L77">
        <v>1339</v>
      </c>
      <c r="N77">
        <v>1007</v>
      </c>
      <c r="O77" t="s">
        <v>99</v>
      </c>
      <c r="P77" t="s">
        <v>99</v>
      </c>
      <c r="Q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G77">
        <v>0</v>
      </c>
      <c r="AH77">
        <v>3</v>
      </c>
      <c r="AI77">
        <v>-1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ROW(Source!A108)</f>
        <v>108</v>
      </c>
      <c r="B78">
        <v>27553694</v>
      </c>
      <c r="C78">
        <v>27553677</v>
      </c>
      <c r="D78">
        <v>24472293</v>
      </c>
      <c r="E78">
        <v>1</v>
      </c>
      <c r="F78">
        <v>1</v>
      </c>
      <c r="G78">
        <v>1</v>
      </c>
      <c r="H78">
        <v>3</v>
      </c>
      <c r="I78" t="s">
        <v>275</v>
      </c>
      <c r="J78" t="s">
        <v>276</v>
      </c>
      <c r="K78" t="s">
        <v>277</v>
      </c>
      <c r="L78">
        <v>1339</v>
      </c>
      <c r="N78">
        <v>1007</v>
      </c>
      <c r="O78" t="s">
        <v>99</v>
      </c>
      <c r="P78" t="s">
        <v>99</v>
      </c>
      <c r="Q78">
        <v>1</v>
      </c>
      <c r="X78">
        <v>7</v>
      </c>
      <c r="Y78">
        <v>2.44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7</v>
      </c>
      <c r="AH78">
        <v>2</v>
      </c>
      <c r="AI78">
        <v>27553685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ROW(Source!A110)</f>
        <v>110</v>
      </c>
      <c r="B79">
        <v>27553711</v>
      </c>
      <c r="C79">
        <v>27553697</v>
      </c>
      <c r="D79">
        <v>24506163</v>
      </c>
      <c r="E79">
        <v>1</v>
      </c>
      <c r="F79">
        <v>1</v>
      </c>
      <c r="G79">
        <v>1</v>
      </c>
      <c r="H79">
        <v>1</v>
      </c>
      <c r="I79" t="s">
        <v>282</v>
      </c>
      <c r="K79" t="s">
        <v>283</v>
      </c>
      <c r="L79">
        <v>1369</v>
      </c>
      <c r="N79">
        <v>1013</v>
      </c>
      <c r="O79" t="s">
        <v>228</v>
      </c>
      <c r="P79" t="s">
        <v>228</v>
      </c>
      <c r="Q79">
        <v>1</v>
      </c>
      <c r="X79">
        <v>38.3</v>
      </c>
      <c r="Y79">
        <v>0</v>
      </c>
      <c r="Z79">
        <v>0</v>
      </c>
      <c r="AA79">
        <v>0</v>
      </c>
      <c r="AB79">
        <v>9.62</v>
      </c>
      <c r="AC79">
        <v>0</v>
      </c>
      <c r="AD79">
        <v>1</v>
      </c>
      <c r="AE79">
        <v>1</v>
      </c>
      <c r="AG79">
        <v>38.3</v>
      </c>
      <c r="AH79">
        <v>2</v>
      </c>
      <c r="AI79">
        <v>27553698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ROW(Source!A110)</f>
        <v>110</v>
      </c>
      <c r="B80">
        <v>27553712</v>
      </c>
      <c r="C80">
        <v>27553697</v>
      </c>
      <c r="D80">
        <v>121548</v>
      </c>
      <c r="E80">
        <v>1</v>
      </c>
      <c r="F80">
        <v>1</v>
      </c>
      <c r="G80">
        <v>1</v>
      </c>
      <c r="H80">
        <v>1</v>
      </c>
      <c r="I80" t="s">
        <v>28</v>
      </c>
      <c r="K80" t="s">
        <v>229</v>
      </c>
      <c r="L80">
        <v>608254</v>
      </c>
      <c r="N80">
        <v>1013</v>
      </c>
      <c r="O80" t="s">
        <v>230</v>
      </c>
      <c r="P80" t="s">
        <v>230</v>
      </c>
      <c r="Q80">
        <v>1</v>
      </c>
      <c r="X80">
        <v>19.08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G80">
        <v>19.08</v>
      </c>
      <c r="AH80">
        <v>2</v>
      </c>
      <c r="AI80">
        <v>27553699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ROW(Source!A110)</f>
        <v>110</v>
      </c>
      <c r="B81">
        <v>27553713</v>
      </c>
      <c r="C81">
        <v>27553697</v>
      </c>
      <c r="D81">
        <v>24450839</v>
      </c>
      <c r="E81">
        <v>1</v>
      </c>
      <c r="F81">
        <v>1</v>
      </c>
      <c r="G81">
        <v>1</v>
      </c>
      <c r="H81">
        <v>2</v>
      </c>
      <c r="I81" t="s">
        <v>233</v>
      </c>
      <c r="J81" t="s">
        <v>234</v>
      </c>
      <c r="K81" t="s">
        <v>235</v>
      </c>
      <c r="L81">
        <v>1368</v>
      </c>
      <c r="N81">
        <v>1011</v>
      </c>
      <c r="O81" t="s">
        <v>236</v>
      </c>
      <c r="P81" t="s">
        <v>236</v>
      </c>
      <c r="Q81">
        <v>1</v>
      </c>
      <c r="X81">
        <v>0.03</v>
      </c>
      <c r="Y81">
        <v>0</v>
      </c>
      <c r="Z81">
        <v>112</v>
      </c>
      <c r="AA81">
        <v>13.5</v>
      </c>
      <c r="AB81">
        <v>0</v>
      </c>
      <c r="AC81">
        <v>0</v>
      </c>
      <c r="AD81">
        <v>1</v>
      </c>
      <c r="AE81">
        <v>0</v>
      </c>
      <c r="AG81">
        <v>0.03</v>
      </c>
      <c r="AH81">
        <v>2</v>
      </c>
      <c r="AI81">
        <v>27553700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ROW(Source!A110)</f>
        <v>110</v>
      </c>
      <c r="B82">
        <v>27553714</v>
      </c>
      <c r="C82">
        <v>27553697</v>
      </c>
      <c r="D82">
        <v>24451446</v>
      </c>
      <c r="E82">
        <v>1</v>
      </c>
      <c r="F82">
        <v>1</v>
      </c>
      <c r="G82">
        <v>1</v>
      </c>
      <c r="H82">
        <v>2</v>
      </c>
      <c r="I82" t="s">
        <v>284</v>
      </c>
      <c r="J82" t="s">
        <v>285</v>
      </c>
      <c r="K82" t="s">
        <v>286</v>
      </c>
      <c r="L82">
        <v>1368</v>
      </c>
      <c r="N82">
        <v>1011</v>
      </c>
      <c r="O82" t="s">
        <v>236</v>
      </c>
      <c r="P82" t="s">
        <v>236</v>
      </c>
      <c r="Q82">
        <v>1</v>
      </c>
      <c r="X82">
        <v>1.4</v>
      </c>
      <c r="Y82">
        <v>0</v>
      </c>
      <c r="Z82">
        <v>17.2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1.4</v>
      </c>
      <c r="AH82">
        <v>2</v>
      </c>
      <c r="AI82">
        <v>27553701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ROW(Source!A110)</f>
        <v>110</v>
      </c>
      <c r="B83">
        <v>27553715</v>
      </c>
      <c r="C83">
        <v>27553697</v>
      </c>
      <c r="D83">
        <v>24451465</v>
      </c>
      <c r="E83">
        <v>1</v>
      </c>
      <c r="F83">
        <v>1</v>
      </c>
      <c r="G83">
        <v>1</v>
      </c>
      <c r="H83">
        <v>2</v>
      </c>
      <c r="I83" t="s">
        <v>287</v>
      </c>
      <c r="J83" t="s">
        <v>288</v>
      </c>
      <c r="K83" t="s">
        <v>289</v>
      </c>
      <c r="L83">
        <v>1368</v>
      </c>
      <c r="N83">
        <v>1011</v>
      </c>
      <c r="O83" t="s">
        <v>236</v>
      </c>
      <c r="P83" t="s">
        <v>236</v>
      </c>
      <c r="Q83">
        <v>1</v>
      </c>
      <c r="X83">
        <v>3.96</v>
      </c>
      <c r="Y83">
        <v>0</v>
      </c>
      <c r="Z83">
        <v>75</v>
      </c>
      <c r="AA83">
        <v>11.6</v>
      </c>
      <c r="AB83">
        <v>0</v>
      </c>
      <c r="AC83">
        <v>0</v>
      </c>
      <c r="AD83">
        <v>1</v>
      </c>
      <c r="AE83">
        <v>0</v>
      </c>
      <c r="AG83">
        <v>3.96</v>
      </c>
      <c r="AH83">
        <v>2</v>
      </c>
      <c r="AI83">
        <v>27553702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ROW(Source!A110)</f>
        <v>110</v>
      </c>
      <c r="B84">
        <v>27553716</v>
      </c>
      <c r="C84">
        <v>27553697</v>
      </c>
      <c r="D84">
        <v>24451466</v>
      </c>
      <c r="E84">
        <v>1</v>
      </c>
      <c r="F84">
        <v>1</v>
      </c>
      <c r="G84">
        <v>1</v>
      </c>
      <c r="H84">
        <v>2</v>
      </c>
      <c r="I84" t="s">
        <v>290</v>
      </c>
      <c r="J84" t="s">
        <v>291</v>
      </c>
      <c r="K84" t="s">
        <v>292</v>
      </c>
      <c r="L84">
        <v>1368</v>
      </c>
      <c r="N84">
        <v>1011</v>
      </c>
      <c r="O84" t="s">
        <v>236</v>
      </c>
      <c r="P84" t="s">
        <v>236</v>
      </c>
      <c r="Q84">
        <v>1</v>
      </c>
      <c r="X84">
        <v>11.51</v>
      </c>
      <c r="Y84">
        <v>0</v>
      </c>
      <c r="Z84">
        <v>121</v>
      </c>
      <c r="AA84">
        <v>14.4</v>
      </c>
      <c r="AB84">
        <v>0</v>
      </c>
      <c r="AC84">
        <v>0</v>
      </c>
      <c r="AD84">
        <v>1</v>
      </c>
      <c r="AE84">
        <v>0</v>
      </c>
      <c r="AG84">
        <v>11.51</v>
      </c>
      <c r="AH84">
        <v>2</v>
      </c>
      <c r="AI84">
        <v>27553703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ROW(Source!A110)</f>
        <v>110</v>
      </c>
      <c r="B85">
        <v>27553717</v>
      </c>
      <c r="C85">
        <v>27553697</v>
      </c>
      <c r="D85">
        <v>24451524</v>
      </c>
      <c r="E85">
        <v>1</v>
      </c>
      <c r="F85">
        <v>1</v>
      </c>
      <c r="G85">
        <v>1</v>
      </c>
      <c r="H85">
        <v>2</v>
      </c>
      <c r="I85" t="s">
        <v>272</v>
      </c>
      <c r="J85" t="s">
        <v>273</v>
      </c>
      <c r="K85" t="s">
        <v>274</v>
      </c>
      <c r="L85">
        <v>1368</v>
      </c>
      <c r="N85">
        <v>1011</v>
      </c>
      <c r="O85" t="s">
        <v>236</v>
      </c>
      <c r="P85" t="s">
        <v>236</v>
      </c>
      <c r="Q85">
        <v>1</v>
      </c>
      <c r="X85">
        <v>0.39</v>
      </c>
      <c r="Y85">
        <v>0</v>
      </c>
      <c r="Z85">
        <v>110</v>
      </c>
      <c r="AA85">
        <v>11.6</v>
      </c>
      <c r="AB85">
        <v>0</v>
      </c>
      <c r="AC85">
        <v>0</v>
      </c>
      <c r="AD85">
        <v>1</v>
      </c>
      <c r="AE85">
        <v>0</v>
      </c>
      <c r="AG85">
        <v>0.39</v>
      </c>
      <c r="AH85">
        <v>2</v>
      </c>
      <c r="AI85">
        <v>27553704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ROW(Source!A110)</f>
        <v>110</v>
      </c>
      <c r="B86">
        <v>27553718</v>
      </c>
      <c r="C86">
        <v>27553697</v>
      </c>
      <c r="D86">
        <v>24451546</v>
      </c>
      <c r="E86">
        <v>1</v>
      </c>
      <c r="F86">
        <v>1</v>
      </c>
      <c r="G86">
        <v>1</v>
      </c>
      <c r="H86">
        <v>2</v>
      </c>
      <c r="I86" t="s">
        <v>293</v>
      </c>
      <c r="J86" t="s">
        <v>294</v>
      </c>
      <c r="K86" t="s">
        <v>295</v>
      </c>
      <c r="L86">
        <v>1368</v>
      </c>
      <c r="N86">
        <v>1011</v>
      </c>
      <c r="O86" t="s">
        <v>236</v>
      </c>
      <c r="P86" t="s">
        <v>236</v>
      </c>
      <c r="Q86">
        <v>1</v>
      </c>
      <c r="X86">
        <v>3.19</v>
      </c>
      <c r="Y86">
        <v>0</v>
      </c>
      <c r="Z86">
        <v>195.2</v>
      </c>
      <c r="AA86">
        <v>14.4</v>
      </c>
      <c r="AB86">
        <v>0</v>
      </c>
      <c r="AC86">
        <v>0</v>
      </c>
      <c r="AD86">
        <v>1</v>
      </c>
      <c r="AE86">
        <v>0</v>
      </c>
      <c r="AG86">
        <v>3.19</v>
      </c>
      <c r="AH86">
        <v>2</v>
      </c>
      <c r="AI86">
        <v>27553705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ROW(Source!A110)</f>
        <v>110</v>
      </c>
      <c r="B87">
        <v>27553719</v>
      </c>
      <c r="C87">
        <v>27553697</v>
      </c>
      <c r="D87">
        <v>24452575</v>
      </c>
      <c r="E87">
        <v>1</v>
      </c>
      <c r="F87">
        <v>1</v>
      </c>
      <c r="G87">
        <v>1</v>
      </c>
      <c r="H87">
        <v>2</v>
      </c>
      <c r="I87" t="s">
        <v>237</v>
      </c>
      <c r="J87" t="s">
        <v>238</v>
      </c>
      <c r="K87" t="s">
        <v>239</v>
      </c>
      <c r="L87">
        <v>1368</v>
      </c>
      <c r="N87">
        <v>1011</v>
      </c>
      <c r="O87" t="s">
        <v>236</v>
      </c>
      <c r="P87" t="s">
        <v>236</v>
      </c>
      <c r="Q87">
        <v>1</v>
      </c>
      <c r="X87">
        <v>0.04</v>
      </c>
      <c r="Y87">
        <v>0</v>
      </c>
      <c r="Z87">
        <v>87.17</v>
      </c>
      <c r="AA87">
        <v>11.6</v>
      </c>
      <c r="AB87">
        <v>0</v>
      </c>
      <c r="AC87">
        <v>0</v>
      </c>
      <c r="AD87">
        <v>1</v>
      </c>
      <c r="AE87">
        <v>0</v>
      </c>
      <c r="AG87">
        <v>0.04</v>
      </c>
      <c r="AH87">
        <v>2</v>
      </c>
      <c r="AI87">
        <v>27553706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ROW(Source!A110)</f>
        <v>110</v>
      </c>
      <c r="B88">
        <v>27553720</v>
      </c>
      <c r="C88">
        <v>27553697</v>
      </c>
      <c r="D88">
        <v>24453737</v>
      </c>
      <c r="E88">
        <v>1</v>
      </c>
      <c r="F88">
        <v>1</v>
      </c>
      <c r="G88">
        <v>1</v>
      </c>
      <c r="H88">
        <v>3</v>
      </c>
      <c r="I88" t="s">
        <v>296</v>
      </c>
      <c r="J88" t="s">
        <v>297</v>
      </c>
      <c r="K88" t="s">
        <v>298</v>
      </c>
      <c r="L88">
        <v>1348</v>
      </c>
      <c r="N88">
        <v>1009</v>
      </c>
      <c r="O88" t="s">
        <v>87</v>
      </c>
      <c r="P88" t="s">
        <v>87</v>
      </c>
      <c r="Q88">
        <v>1000</v>
      </c>
      <c r="X88">
        <v>0.0062</v>
      </c>
      <c r="Y88">
        <v>5989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0.0062</v>
      </c>
      <c r="AH88">
        <v>2</v>
      </c>
      <c r="AI88">
        <v>27553707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ROW(Source!A110)</f>
        <v>110</v>
      </c>
      <c r="B89">
        <v>27553721</v>
      </c>
      <c r="C89">
        <v>27553697</v>
      </c>
      <c r="D89">
        <v>24454303</v>
      </c>
      <c r="E89">
        <v>1</v>
      </c>
      <c r="F89">
        <v>1</v>
      </c>
      <c r="G89">
        <v>1</v>
      </c>
      <c r="H89">
        <v>3</v>
      </c>
      <c r="I89" t="s">
        <v>299</v>
      </c>
      <c r="J89" t="s">
        <v>300</v>
      </c>
      <c r="K89" t="s">
        <v>301</v>
      </c>
      <c r="L89">
        <v>1348</v>
      </c>
      <c r="N89">
        <v>1009</v>
      </c>
      <c r="O89" t="s">
        <v>87</v>
      </c>
      <c r="P89" t="s">
        <v>87</v>
      </c>
      <c r="Q89">
        <v>1000</v>
      </c>
      <c r="X89">
        <v>0.0108</v>
      </c>
      <c r="Y89">
        <v>1690.01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0.0108</v>
      </c>
      <c r="AH89">
        <v>2</v>
      </c>
      <c r="AI89">
        <v>27553708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ROW(Source!A110)</f>
        <v>110</v>
      </c>
      <c r="B90">
        <v>27553722</v>
      </c>
      <c r="C90">
        <v>27553697</v>
      </c>
      <c r="D90">
        <v>24456400</v>
      </c>
      <c r="E90">
        <v>1</v>
      </c>
      <c r="F90">
        <v>1</v>
      </c>
      <c r="G90">
        <v>1</v>
      </c>
      <c r="H90">
        <v>3</v>
      </c>
      <c r="I90" t="s">
        <v>302</v>
      </c>
      <c r="J90" t="s">
        <v>303</v>
      </c>
      <c r="K90" t="s">
        <v>304</v>
      </c>
      <c r="L90">
        <v>1339</v>
      </c>
      <c r="N90">
        <v>1007</v>
      </c>
      <c r="O90" t="s">
        <v>99</v>
      </c>
      <c r="P90" t="s">
        <v>99</v>
      </c>
      <c r="Q90">
        <v>1</v>
      </c>
      <c r="X90">
        <v>0.15</v>
      </c>
      <c r="Y90">
        <v>1287.01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0.15</v>
      </c>
      <c r="AH90">
        <v>2</v>
      </c>
      <c r="AI90">
        <v>27553709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ROW(Source!A110)</f>
        <v>110</v>
      </c>
      <c r="B91">
        <v>27553723</v>
      </c>
      <c r="C91">
        <v>27553697</v>
      </c>
      <c r="D91">
        <v>24472221</v>
      </c>
      <c r="E91">
        <v>1</v>
      </c>
      <c r="F91">
        <v>1</v>
      </c>
      <c r="G91">
        <v>1</v>
      </c>
      <c r="H91">
        <v>3</v>
      </c>
      <c r="I91" t="s">
        <v>305</v>
      </c>
      <c r="J91" t="s">
        <v>306</v>
      </c>
      <c r="K91" t="s">
        <v>307</v>
      </c>
      <c r="L91">
        <v>1348</v>
      </c>
      <c r="N91">
        <v>1009</v>
      </c>
      <c r="O91" t="s">
        <v>87</v>
      </c>
      <c r="P91" t="s">
        <v>87</v>
      </c>
      <c r="Q91">
        <v>1000</v>
      </c>
      <c r="X91">
        <v>96.6</v>
      </c>
      <c r="Y91">
        <v>535.5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96.6</v>
      </c>
      <c r="AH91">
        <v>2</v>
      </c>
      <c r="AI91">
        <v>27553710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ROW(Source!A111)</f>
        <v>111</v>
      </c>
      <c r="B92">
        <v>27553730</v>
      </c>
      <c r="C92">
        <v>27553724</v>
      </c>
      <c r="D92">
        <v>24506163</v>
      </c>
      <c r="E92">
        <v>1</v>
      </c>
      <c r="F92">
        <v>1</v>
      </c>
      <c r="G92">
        <v>1</v>
      </c>
      <c r="H92">
        <v>1</v>
      </c>
      <c r="I92" t="s">
        <v>282</v>
      </c>
      <c r="K92" t="s">
        <v>283</v>
      </c>
      <c r="L92">
        <v>1369</v>
      </c>
      <c r="N92">
        <v>1013</v>
      </c>
      <c r="O92" t="s">
        <v>228</v>
      </c>
      <c r="P92" t="s">
        <v>228</v>
      </c>
      <c r="Q92">
        <v>1</v>
      </c>
      <c r="X92">
        <v>0.09</v>
      </c>
      <c r="Y92">
        <v>0</v>
      </c>
      <c r="Z92">
        <v>0</v>
      </c>
      <c r="AA92">
        <v>0</v>
      </c>
      <c r="AB92">
        <v>9.62</v>
      </c>
      <c r="AC92">
        <v>0</v>
      </c>
      <c r="AD92">
        <v>1</v>
      </c>
      <c r="AE92">
        <v>1</v>
      </c>
      <c r="AF92" t="s">
        <v>122</v>
      </c>
      <c r="AG92">
        <v>0.18</v>
      </c>
      <c r="AH92">
        <v>2</v>
      </c>
      <c r="AI92">
        <v>27553725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ROW(Source!A111)</f>
        <v>111</v>
      </c>
      <c r="B93">
        <v>27553731</v>
      </c>
      <c r="C93">
        <v>27553724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28</v>
      </c>
      <c r="K93" t="s">
        <v>229</v>
      </c>
      <c r="L93">
        <v>608254</v>
      </c>
      <c r="N93">
        <v>1013</v>
      </c>
      <c r="O93" t="s">
        <v>230</v>
      </c>
      <c r="P93" t="s">
        <v>230</v>
      </c>
      <c r="Q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122</v>
      </c>
      <c r="AG93">
        <v>0</v>
      </c>
      <c r="AH93">
        <v>2</v>
      </c>
      <c r="AI93">
        <v>27553726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ROW(Source!A111)</f>
        <v>111</v>
      </c>
      <c r="B94">
        <v>27553732</v>
      </c>
      <c r="C94">
        <v>27553724</v>
      </c>
      <c r="D94">
        <v>24451446</v>
      </c>
      <c r="E94">
        <v>1</v>
      </c>
      <c r="F94">
        <v>1</v>
      </c>
      <c r="G94">
        <v>1</v>
      </c>
      <c r="H94">
        <v>2</v>
      </c>
      <c r="I94" t="s">
        <v>284</v>
      </c>
      <c r="J94" t="s">
        <v>285</v>
      </c>
      <c r="K94" t="s">
        <v>286</v>
      </c>
      <c r="L94">
        <v>1368</v>
      </c>
      <c r="N94">
        <v>1011</v>
      </c>
      <c r="O94" t="s">
        <v>236</v>
      </c>
      <c r="P94" t="s">
        <v>236</v>
      </c>
      <c r="Q94">
        <v>1</v>
      </c>
      <c r="X94">
        <v>0.18</v>
      </c>
      <c r="Y94">
        <v>0</v>
      </c>
      <c r="Z94">
        <v>17.2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122</v>
      </c>
      <c r="AG94">
        <v>0.36</v>
      </c>
      <c r="AH94">
        <v>2</v>
      </c>
      <c r="AI94">
        <v>27553727</v>
      </c>
      <c r="AJ94">
        <v>96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ROW(Source!A111)</f>
        <v>111</v>
      </c>
      <c r="B95">
        <v>27553733</v>
      </c>
      <c r="C95">
        <v>27553724</v>
      </c>
      <c r="D95">
        <v>24454303</v>
      </c>
      <c r="E95">
        <v>1</v>
      </c>
      <c r="F95">
        <v>1</v>
      </c>
      <c r="G95">
        <v>1</v>
      </c>
      <c r="H95">
        <v>3</v>
      </c>
      <c r="I95" t="s">
        <v>299</v>
      </c>
      <c r="J95" t="s">
        <v>300</v>
      </c>
      <c r="K95" t="s">
        <v>301</v>
      </c>
      <c r="L95">
        <v>1348</v>
      </c>
      <c r="N95">
        <v>1009</v>
      </c>
      <c r="O95" t="s">
        <v>87</v>
      </c>
      <c r="P95" t="s">
        <v>87</v>
      </c>
      <c r="Q95">
        <v>1000</v>
      </c>
      <c r="X95">
        <v>0.0014</v>
      </c>
      <c r="Y95">
        <v>1690.01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122</v>
      </c>
      <c r="AG95">
        <v>0.0028</v>
      </c>
      <c r="AH95">
        <v>2</v>
      </c>
      <c r="AI95">
        <v>27553728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ROW(Source!A111)</f>
        <v>111</v>
      </c>
      <c r="B96">
        <v>27553734</v>
      </c>
      <c r="C96">
        <v>27553724</v>
      </c>
      <c r="D96">
        <v>24472221</v>
      </c>
      <c r="E96">
        <v>1</v>
      </c>
      <c r="F96">
        <v>1</v>
      </c>
      <c r="G96">
        <v>1</v>
      </c>
      <c r="H96">
        <v>3</v>
      </c>
      <c r="I96" t="s">
        <v>305</v>
      </c>
      <c r="J96" t="s">
        <v>306</v>
      </c>
      <c r="K96" t="s">
        <v>307</v>
      </c>
      <c r="L96">
        <v>1348</v>
      </c>
      <c r="N96">
        <v>1009</v>
      </c>
      <c r="O96" t="s">
        <v>87</v>
      </c>
      <c r="P96" t="s">
        <v>87</v>
      </c>
      <c r="Q96">
        <v>1000</v>
      </c>
      <c r="X96">
        <v>12.1</v>
      </c>
      <c r="Y96">
        <v>535.5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122</v>
      </c>
      <c r="AG96">
        <v>24.2</v>
      </c>
      <c r="AH96">
        <v>2</v>
      </c>
      <c r="AI96">
        <v>27553729</v>
      </c>
      <c r="AJ96">
        <v>98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ROW(Source!A133)</f>
        <v>133</v>
      </c>
      <c r="B97">
        <v>27551587</v>
      </c>
      <c r="C97">
        <v>27551578</v>
      </c>
      <c r="D97">
        <v>24505038</v>
      </c>
      <c r="E97">
        <v>1</v>
      </c>
      <c r="F97">
        <v>1</v>
      </c>
      <c r="G97">
        <v>1</v>
      </c>
      <c r="H97">
        <v>1</v>
      </c>
      <c r="I97" t="s">
        <v>278</v>
      </c>
      <c r="K97" t="s">
        <v>279</v>
      </c>
      <c r="L97">
        <v>1369</v>
      </c>
      <c r="N97">
        <v>1013</v>
      </c>
      <c r="O97" t="s">
        <v>228</v>
      </c>
      <c r="P97" t="s">
        <v>228</v>
      </c>
      <c r="Q97">
        <v>1</v>
      </c>
      <c r="X97">
        <v>24.19</v>
      </c>
      <c r="Y97">
        <v>0</v>
      </c>
      <c r="Z97">
        <v>0</v>
      </c>
      <c r="AA97">
        <v>0</v>
      </c>
      <c r="AB97">
        <v>8.09</v>
      </c>
      <c r="AC97">
        <v>0</v>
      </c>
      <c r="AD97">
        <v>1</v>
      </c>
      <c r="AE97">
        <v>1</v>
      </c>
      <c r="AG97">
        <v>24.19</v>
      </c>
      <c r="AH97">
        <v>2</v>
      </c>
      <c r="AI97">
        <v>27551579</v>
      </c>
      <c r="AJ97">
        <v>99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ROW(Source!A133)</f>
        <v>133</v>
      </c>
      <c r="B98">
        <v>27551588</v>
      </c>
      <c r="C98">
        <v>27551578</v>
      </c>
      <c r="D98">
        <v>121548</v>
      </c>
      <c r="E98">
        <v>1</v>
      </c>
      <c r="F98">
        <v>1</v>
      </c>
      <c r="G98">
        <v>1</v>
      </c>
      <c r="H98">
        <v>1</v>
      </c>
      <c r="I98" t="s">
        <v>28</v>
      </c>
      <c r="K98" t="s">
        <v>229</v>
      </c>
      <c r="L98">
        <v>608254</v>
      </c>
      <c r="N98">
        <v>1013</v>
      </c>
      <c r="O98" t="s">
        <v>230</v>
      </c>
      <c r="P98" t="s">
        <v>230</v>
      </c>
      <c r="Q98">
        <v>1</v>
      </c>
      <c r="X98">
        <v>20.6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G98">
        <v>20.6</v>
      </c>
      <c r="AH98">
        <v>2</v>
      </c>
      <c r="AI98">
        <v>27551580</v>
      </c>
      <c r="AJ98">
        <v>100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ROW(Source!A133)</f>
        <v>133</v>
      </c>
      <c r="B99">
        <v>27551589</v>
      </c>
      <c r="C99">
        <v>27551578</v>
      </c>
      <c r="D99">
        <v>24450908</v>
      </c>
      <c r="E99">
        <v>1</v>
      </c>
      <c r="F99">
        <v>1</v>
      </c>
      <c r="G99">
        <v>1</v>
      </c>
      <c r="H99">
        <v>2</v>
      </c>
      <c r="I99" t="s">
        <v>263</v>
      </c>
      <c r="J99" t="s">
        <v>264</v>
      </c>
      <c r="K99" t="s">
        <v>265</v>
      </c>
      <c r="L99">
        <v>1368</v>
      </c>
      <c r="N99">
        <v>1011</v>
      </c>
      <c r="O99" t="s">
        <v>236</v>
      </c>
      <c r="P99" t="s">
        <v>236</v>
      </c>
      <c r="Q99">
        <v>1</v>
      </c>
      <c r="X99">
        <v>2.46</v>
      </c>
      <c r="Y99">
        <v>0</v>
      </c>
      <c r="Z99">
        <v>99.89</v>
      </c>
      <c r="AA99">
        <v>10.06</v>
      </c>
      <c r="AB99">
        <v>0</v>
      </c>
      <c r="AC99">
        <v>0</v>
      </c>
      <c r="AD99">
        <v>1</v>
      </c>
      <c r="AE99">
        <v>0</v>
      </c>
      <c r="AG99">
        <v>2.46</v>
      </c>
      <c r="AH99">
        <v>2</v>
      </c>
      <c r="AI99">
        <v>27551581</v>
      </c>
      <c r="AJ99">
        <v>101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ROW(Source!A133)</f>
        <v>133</v>
      </c>
      <c r="B100">
        <v>27551590</v>
      </c>
      <c r="C100">
        <v>27551578</v>
      </c>
      <c r="D100">
        <v>24451199</v>
      </c>
      <c r="E100">
        <v>1</v>
      </c>
      <c r="F100">
        <v>1</v>
      </c>
      <c r="G100">
        <v>1</v>
      </c>
      <c r="H100">
        <v>2</v>
      </c>
      <c r="I100" t="s">
        <v>257</v>
      </c>
      <c r="J100" t="s">
        <v>280</v>
      </c>
      <c r="K100" t="s">
        <v>281</v>
      </c>
      <c r="L100">
        <v>1368</v>
      </c>
      <c r="N100">
        <v>1011</v>
      </c>
      <c r="O100" t="s">
        <v>236</v>
      </c>
      <c r="P100" t="s">
        <v>236</v>
      </c>
      <c r="Q100">
        <v>1</v>
      </c>
      <c r="X100">
        <v>2.59</v>
      </c>
      <c r="Y100">
        <v>0</v>
      </c>
      <c r="Z100">
        <v>80.01</v>
      </c>
      <c r="AA100">
        <v>14.4</v>
      </c>
      <c r="AB100">
        <v>0</v>
      </c>
      <c r="AC100">
        <v>0</v>
      </c>
      <c r="AD100">
        <v>1</v>
      </c>
      <c r="AE100">
        <v>0</v>
      </c>
      <c r="AG100">
        <v>2.59</v>
      </c>
      <c r="AH100">
        <v>2</v>
      </c>
      <c r="AI100">
        <v>27551582</v>
      </c>
      <c r="AJ100">
        <v>102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ROW(Source!A133)</f>
        <v>133</v>
      </c>
      <c r="B101">
        <v>27551591</v>
      </c>
      <c r="C101">
        <v>27551578</v>
      </c>
      <c r="D101">
        <v>24451440</v>
      </c>
      <c r="E101">
        <v>1</v>
      </c>
      <c r="F101">
        <v>1</v>
      </c>
      <c r="G101">
        <v>1</v>
      </c>
      <c r="H101">
        <v>2</v>
      </c>
      <c r="I101" t="s">
        <v>266</v>
      </c>
      <c r="J101" t="s">
        <v>267</v>
      </c>
      <c r="K101" t="s">
        <v>268</v>
      </c>
      <c r="L101">
        <v>1368</v>
      </c>
      <c r="N101">
        <v>1011</v>
      </c>
      <c r="O101" t="s">
        <v>236</v>
      </c>
      <c r="P101" t="s">
        <v>236</v>
      </c>
      <c r="Q101">
        <v>1</v>
      </c>
      <c r="X101">
        <v>2.3</v>
      </c>
      <c r="Y101">
        <v>0</v>
      </c>
      <c r="Z101">
        <v>123</v>
      </c>
      <c r="AA101">
        <v>13.5</v>
      </c>
      <c r="AB101">
        <v>0</v>
      </c>
      <c r="AC101">
        <v>0</v>
      </c>
      <c r="AD101">
        <v>1</v>
      </c>
      <c r="AE101">
        <v>0</v>
      </c>
      <c r="AG101">
        <v>2.3</v>
      </c>
      <c r="AH101">
        <v>2</v>
      </c>
      <c r="AI101">
        <v>27551583</v>
      </c>
      <c r="AJ101">
        <v>103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ROW(Source!A133)</f>
        <v>133</v>
      </c>
      <c r="B102">
        <v>27551592</v>
      </c>
      <c r="C102">
        <v>27551578</v>
      </c>
      <c r="D102">
        <v>24451470</v>
      </c>
      <c r="E102">
        <v>1</v>
      </c>
      <c r="F102">
        <v>1</v>
      </c>
      <c r="G102">
        <v>1</v>
      </c>
      <c r="H102">
        <v>2</v>
      </c>
      <c r="I102" t="s">
        <v>269</v>
      </c>
      <c r="J102" t="s">
        <v>270</v>
      </c>
      <c r="K102" t="s">
        <v>271</v>
      </c>
      <c r="L102">
        <v>1368</v>
      </c>
      <c r="N102">
        <v>1011</v>
      </c>
      <c r="O102" t="s">
        <v>236</v>
      </c>
      <c r="P102" t="s">
        <v>236</v>
      </c>
      <c r="Q102">
        <v>1</v>
      </c>
      <c r="X102">
        <v>12.21</v>
      </c>
      <c r="Y102">
        <v>0</v>
      </c>
      <c r="Z102">
        <v>206.01</v>
      </c>
      <c r="AA102">
        <v>14.4</v>
      </c>
      <c r="AB102">
        <v>0</v>
      </c>
      <c r="AC102">
        <v>0</v>
      </c>
      <c r="AD102">
        <v>1</v>
      </c>
      <c r="AE102">
        <v>0</v>
      </c>
      <c r="AG102">
        <v>12.21</v>
      </c>
      <c r="AH102">
        <v>2</v>
      </c>
      <c r="AI102">
        <v>27551584</v>
      </c>
      <c r="AJ102">
        <v>104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ROW(Source!A133)</f>
        <v>133</v>
      </c>
      <c r="B103">
        <v>27551593</v>
      </c>
      <c r="C103">
        <v>27551578</v>
      </c>
      <c r="D103">
        <v>24451524</v>
      </c>
      <c r="E103">
        <v>1</v>
      </c>
      <c r="F103">
        <v>1</v>
      </c>
      <c r="G103">
        <v>1</v>
      </c>
      <c r="H103">
        <v>2</v>
      </c>
      <c r="I103" t="s">
        <v>272</v>
      </c>
      <c r="J103" t="s">
        <v>273</v>
      </c>
      <c r="K103" t="s">
        <v>274</v>
      </c>
      <c r="L103">
        <v>1368</v>
      </c>
      <c r="N103">
        <v>1011</v>
      </c>
      <c r="O103" t="s">
        <v>236</v>
      </c>
      <c r="P103" t="s">
        <v>236</v>
      </c>
      <c r="Q103">
        <v>1</v>
      </c>
      <c r="X103">
        <v>1.04</v>
      </c>
      <c r="Y103">
        <v>0</v>
      </c>
      <c r="Z103">
        <v>110</v>
      </c>
      <c r="AA103">
        <v>11.6</v>
      </c>
      <c r="AB103">
        <v>0</v>
      </c>
      <c r="AC103">
        <v>0</v>
      </c>
      <c r="AD103">
        <v>1</v>
      </c>
      <c r="AE103">
        <v>0</v>
      </c>
      <c r="AG103">
        <v>1.04</v>
      </c>
      <c r="AH103">
        <v>2</v>
      </c>
      <c r="AI103">
        <v>27551585</v>
      </c>
      <c r="AJ103">
        <v>105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ROW(Source!A133)</f>
        <v>133</v>
      </c>
      <c r="B104">
        <v>27551594</v>
      </c>
      <c r="C104">
        <v>27551578</v>
      </c>
      <c r="D104">
        <v>24472167</v>
      </c>
      <c r="E104">
        <v>1</v>
      </c>
      <c r="F104">
        <v>1</v>
      </c>
      <c r="G104">
        <v>1</v>
      </c>
      <c r="H104">
        <v>3</v>
      </c>
      <c r="I104" t="s">
        <v>332</v>
      </c>
      <c r="J104" t="s">
        <v>333</v>
      </c>
      <c r="K104" t="s">
        <v>334</v>
      </c>
      <c r="L104">
        <v>1339</v>
      </c>
      <c r="N104">
        <v>1007</v>
      </c>
      <c r="O104" t="s">
        <v>99</v>
      </c>
      <c r="P104" t="s">
        <v>99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G104">
        <v>0</v>
      </c>
      <c r="AH104">
        <v>3</v>
      </c>
      <c r="AI104">
        <v>-1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ROW(Source!A133)</f>
        <v>133</v>
      </c>
      <c r="B105">
        <v>27551595</v>
      </c>
      <c r="C105">
        <v>27551578</v>
      </c>
      <c r="D105">
        <v>24472293</v>
      </c>
      <c r="E105">
        <v>1</v>
      </c>
      <c r="F105">
        <v>1</v>
      </c>
      <c r="G105">
        <v>1</v>
      </c>
      <c r="H105">
        <v>3</v>
      </c>
      <c r="I105" t="s">
        <v>275</v>
      </c>
      <c r="J105" t="s">
        <v>276</v>
      </c>
      <c r="K105" t="s">
        <v>277</v>
      </c>
      <c r="L105">
        <v>1339</v>
      </c>
      <c r="N105">
        <v>1007</v>
      </c>
      <c r="O105" t="s">
        <v>99</v>
      </c>
      <c r="P105" t="s">
        <v>99</v>
      </c>
      <c r="Q105">
        <v>1</v>
      </c>
      <c r="X105">
        <v>7</v>
      </c>
      <c r="Y105">
        <v>2.44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7</v>
      </c>
      <c r="AH105">
        <v>2</v>
      </c>
      <c r="AI105">
        <v>27551586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ROW(Source!A135)</f>
        <v>135</v>
      </c>
      <c r="B106">
        <v>27551612</v>
      </c>
      <c r="C106">
        <v>27551598</v>
      </c>
      <c r="D106">
        <v>24506163</v>
      </c>
      <c r="E106">
        <v>1</v>
      </c>
      <c r="F106">
        <v>1</v>
      </c>
      <c r="G106">
        <v>1</v>
      </c>
      <c r="H106">
        <v>1</v>
      </c>
      <c r="I106" t="s">
        <v>282</v>
      </c>
      <c r="K106" t="s">
        <v>283</v>
      </c>
      <c r="L106">
        <v>1369</v>
      </c>
      <c r="N106">
        <v>1013</v>
      </c>
      <c r="O106" t="s">
        <v>228</v>
      </c>
      <c r="P106" t="s">
        <v>228</v>
      </c>
      <c r="Q106">
        <v>1</v>
      </c>
      <c r="X106">
        <v>38.3</v>
      </c>
      <c r="Y106">
        <v>0</v>
      </c>
      <c r="Z106">
        <v>0</v>
      </c>
      <c r="AA106">
        <v>0</v>
      </c>
      <c r="AB106">
        <v>9.62</v>
      </c>
      <c r="AC106">
        <v>0</v>
      </c>
      <c r="AD106">
        <v>1</v>
      </c>
      <c r="AE106">
        <v>1</v>
      </c>
      <c r="AG106">
        <v>38.3</v>
      </c>
      <c r="AH106">
        <v>2</v>
      </c>
      <c r="AI106">
        <v>27551599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ROW(Source!A135)</f>
        <v>135</v>
      </c>
      <c r="B107">
        <v>27551613</v>
      </c>
      <c r="C107">
        <v>27551598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28</v>
      </c>
      <c r="K107" t="s">
        <v>229</v>
      </c>
      <c r="L107">
        <v>608254</v>
      </c>
      <c r="N107">
        <v>1013</v>
      </c>
      <c r="O107" t="s">
        <v>230</v>
      </c>
      <c r="P107" t="s">
        <v>230</v>
      </c>
      <c r="Q107">
        <v>1</v>
      </c>
      <c r="X107">
        <v>19.08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G107">
        <v>19.08</v>
      </c>
      <c r="AH107">
        <v>2</v>
      </c>
      <c r="AI107">
        <v>27551600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ROW(Source!A135)</f>
        <v>135</v>
      </c>
      <c r="B108">
        <v>27551614</v>
      </c>
      <c r="C108">
        <v>27551598</v>
      </c>
      <c r="D108">
        <v>24450839</v>
      </c>
      <c r="E108">
        <v>1</v>
      </c>
      <c r="F108">
        <v>1</v>
      </c>
      <c r="G108">
        <v>1</v>
      </c>
      <c r="H108">
        <v>2</v>
      </c>
      <c r="I108" t="s">
        <v>233</v>
      </c>
      <c r="J108" t="s">
        <v>234</v>
      </c>
      <c r="K108" t="s">
        <v>235</v>
      </c>
      <c r="L108">
        <v>1368</v>
      </c>
      <c r="N108">
        <v>1011</v>
      </c>
      <c r="O108" t="s">
        <v>236</v>
      </c>
      <c r="P108" t="s">
        <v>236</v>
      </c>
      <c r="Q108">
        <v>1</v>
      </c>
      <c r="X108">
        <v>0.03</v>
      </c>
      <c r="Y108">
        <v>0</v>
      </c>
      <c r="Z108">
        <v>112</v>
      </c>
      <c r="AA108">
        <v>13.5</v>
      </c>
      <c r="AB108">
        <v>0</v>
      </c>
      <c r="AC108">
        <v>0</v>
      </c>
      <c r="AD108">
        <v>1</v>
      </c>
      <c r="AE108">
        <v>0</v>
      </c>
      <c r="AG108">
        <v>0.03</v>
      </c>
      <c r="AH108">
        <v>2</v>
      </c>
      <c r="AI108">
        <v>27551601</v>
      </c>
      <c r="AJ108">
        <v>110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ROW(Source!A135)</f>
        <v>135</v>
      </c>
      <c r="B109">
        <v>27551615</v>
      </c>
      <c r="C109">
        <v>27551598</v>
      </c>
      <c r="D109">
        <v>24451446</v>
      </c>
      <c r="E109">
        <v>1</v>
      </c>
      <c r="F109">
        <v>1</v>
      </c>
      <c r="G109">
        <v>1</v>
      </c>
      <c r="H109">
        <v>2</v>
      </c>
      <c r="I109" t="s">
        <v>284</v>
      </c>
      <c r="J109" t="s">
        <v>285</v>
      </c>
      <c r="K109" t="s">
        <v>286</v>
      </c>
      <c r="L109">
        <v>1368</v>
      </c>
      <c r="N109">
        <v>1011</v>
      </c>
      <c r="O109" t="s">
        <v>236</v>
      </c>
      <c r="P109" t="s">
        <v>236</v>
      </c>
      <c r="Q109">
        <v>1</v>
      </c>
      <c r="X109">
        <v>1.4</v>
      </c>
      <c r="Y109">
        <v>0</v>
      </c>
      <c r="Z109">
        <v>17.2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1.4</v>
      </c>
      <c r="AH109">
        <v>2</v>
      </c>
      <c r="AI109">
        <v>27551602</v>
      </c>
      <c r="AJ109">
        <v>111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ROW(Source!A135)</f>
        <v>135</v>
      </c>
      <c r="B110">
        <v>27551616</v>
      </c>
      <c r="C110">
        <v>27551598</v>
      </c>
      <c r="D110">
        <v>24451465</v>
      </c>
      <c r="E110">
        <v>1</v>
      </c>
      <c r="F110">
        <v>1</v>
      </c>
      <c r="G110">
        <v>1</v>
      </c>
      <c r="H110">
        <v>2</v>
      </c>
      <c r="I110" t="s">
        <v>287</v>
      </c>
      <c r="J110" t="s">
        <v>288</v>
      </c>
      <c r="K110" t="s">
        <v>289</v>
      </c>
      <c r="L110">
        <v>1368</v>
      </c>
      <c r="N110">
        <v>1011</v>
      </c>
      <c r="O110" t="s">
        <v>236</v>
      </c>
      <c r="P110" t="s">
        <v>236</v>
      </c>
      <c r="Q110">
        <v>1</v>
      </c>
      <c r="X110">
        <v>3.96</v>
      </c>
      <c r="Y110">
        <v>0</v>
      </c>
      <c r="Z110">
        <v>75</v>
      </c>
      <c r="AA110">
        <v>11.6</v>
      </c>
      <c r="AB110">
        <v>0</v>
      </c>
      <c r="AC110">
        <v>0</v>
      </c>
      <c r="AD110">
        <v>1</v>
      </c>
      <c r="AE110">
        <v>0</v>
      </c>
      <c r="AG110">
        <v>3.96</v>
      </c>
      <c r="AH110">
        <v>2</v>
      </c>
      <c r="AI110">
        <v>27551603</v>
      </c>
      <c r="AJ110">
        <v>112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ROW(Source!A135)</f>
        <v>135</v>
      </c>
      <c r="B111">
        <v>27551617</v>
      </c>
      <c r="C111">
        <v>27551598</v>
      </c>
      <c r="D111">
        <v>24451466</v>
      </c>
      <c r="E111">
        <v>1</v>
      </c>
      <c r="F111">
        <v>1</v>
      </c>
      <c r="G111">
        <v>1</v>
      </c>
      <c r="H111">
        <v>2</v>
      </c>
      <c r="I111" t="s">
        <v>290</v>
      </c>
      <c r="J111" t="s">
        <v>291</v>
      </c>
      <c r="K111" t="s">
        <v>292</v>
      </c>
      <c r="L111">
        <v>1368</v>
      </c>
      <c r="N111">
        <v>1011</v>
      </c>
      <c r="O111" t="s">
        <v>236</v>
      </c>
      <c r="P111" t="s">
        <v>236</v>
      </c>
      <c r="Q111">
        <v>1</v>
      </c>
      <c r="X111">
        <v>11.51</v>
      </c>
      <c r="Y111">
        <v>0</v>
      </c>
      <c r="Z111">
        <v>121</v>
      </c>
      <c r="AA111">
        <v>14.4</v>
      </c>
      <c r="AB111">
        <v>0</v>
      </c>
      <c r="AC111">
        <v>0</v>
      </c>
      <c r="AD111">
        <v>1</v>
      </c>
      <c r="AE111">
        <v>0</v>
      </c>
      <c r="AG111">
        <v>11.51</v>
      </c>
      <c r="AH111">
        <v>2</v>
      </c>
      <c r="AI111">
        <v>27551604</v>
      </c>
      <c r="AJ111">
        <v>113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ROW(Source!A135)</f>
        <v>135</v>
      </c>
      <c r="B112">
        <v>27551618</v>
      </c>
      <c r="C112">
        <v>27551598</v>
      </c>
      <c r="D112">
        <v>24451524</v>
      </c>
      <c r="E112">
        <v>1</v>
      </c>
      <c r="F112">
        <v>1</v>
      </c>
      <c r="G112">
        <v>1</v>
      </c>
      <c r="H112">
        <v>2</v>
      </c>
      <c r="I112" t="s">
        <v>272</v>
      </c>
      <c r="J112" t="s">
        <v>273</v>
      </c>
      <c r="K112" t="s">
        <v>274</v>
      </c>
      <c r="L112">
        <v>1368</v>
      </c>
      <c r="N112">
        <v>1011</v>
      </c>
      <c r="O112" t="s">
        <v>236</v>
      </c>
      <c r="P112" t="s">
        <v>236</v>
      </c>
      <c r="Q112">
        <v>1</v>
      </c>
      <c r="X112">
        <v>0.39</v>
      </c>
      <c r="Y112">
        <v>0</v>
      </c>
      <c r="Z112">
        <v>110</v>
      </c>
      <c r="AA112">
        <v>11.6</v>
      </c>
      <c r="AB112">
        <v>0</v>
      </c>
      <c r="AC112">
        <v>0</v>
      </c>
      <c r="AD112">
        <v>1</v>
      </c>
      <c r="AE112">
        <v>0</v>
      </c>
      <c r="AG112">
        <v>0.39</v>
      </c>
      <c r="AH112">
        <v>2</v>
      </c>
      <c r="AI112">
        <v>27551605</v>
      </c>
      <c r="AJ112">
        <v>114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ROW(Source!A135)</f>
        <v>135</v>
      </c>
      <c r="B113">
        <v>27551619</v>
      </c>
      <c r="C113">
        <v>27551598</v>
      </c>
      <c r="D113">
        <v>24451546</v>
      </c>
      <c r="E113">
        <v>1</v>
      </c>
      <c r="F113">
        <v>1</v>
      </c>
      <c r="G113">
        <v>1</v>
      </c>
      <c r="H113">
        <v>2</v>
      </c>
      <c r="I113" t="s">
        <v>293</v>
      </c>
      <c r="J113" t="s">
        <v>294</v>
      </c>
      <c r="K113" t="s">
        <v>295</v>
      </c>
      <c r="L113">
        <v>1368</v>
      </c>
      <c r="N113">
        <v>1011</v>
      </c>
      <c r="O113" t="s">
        <v>236</v>
      </c>
      <c r="P113" t="s">
        <v>236</v>
      </c>
      <c r="Q113">
        <v>1</v>
      </c>
      <c r="X113">
        <v>3.19</v>
      </c>
      <c r="Y113">
        <v>0</v>
      </c>
      <c r="Z113">
        <v>195.2</v>
      </c>
      <c r="AA113">
        <v>14.4</v>
      </c>
      <c r="AB113">
        <v>0</v>
      </c>
      <c r="AC113">
        <v>0</v>
      </c>
      <c r="AD113">
        <v>1</v>
      </c>
      <c r="AE113">
        <v>0</v>
      </c>
      <c r="AG113">
        <v>3.19</v>
      </c>
      <c r="AH113">
        <v>2</v>
      </c>
      <c r="AI113">
        <v>27551606</v>
      </c>
      <c r="AJ113">
        <v>115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ROW(Source!A135)</f>
        <v>135</v>
      </c>
      <c r="B114">
        <v>27551620</v>
      </c>
      <c r="C114">
        <v>27551598</v>
      </c>
      <c r="D114">
        <v>24452575</v>
      </c>
      <c r="E114">
        <v>1</v>
      </c>
      <c r="F114">
        <v>1</v>
      </c>
      <c r="G114">
        <v>1</v>
      </c>
      <c r="H114">
        <v>2</v>
      </c>
      <c r="I114" t="s">
        <v>237</v>
      </c>
      <c r="J114" t="s">
        <v>238</v>
      </c>
      <c r="K114" t="s">
        <v>239</v>
      </c>
      <c r="L114">
        <v>1368</v>
      </c>
      <c r="N114">
        <v>1011</v>
      </c>
      <c r="O114" t="s">
        <v>236</v>
      </c>
      <c r="P114" t="s">
        <v>236</v>
      </c>
      <c r="Q114">
        <v>1</v>
      </c>
      <c r="X114">
        <v>0.04</v>
      </c>
      <c r="Y114">
        <v>0</v>
      </c>
      <c r="Z114">
        <v>87.17</v>
      </c>
      <c r="AA114">
        <v>11.6</v>
      </c>
      <c r="AB114">
        <v>0</v>
      </c>
      <c r="AC114">
        <v>0</v>
      </c>
      <c r="AD114">
        <v>1</v>
      </c>
      <c r="AE114">
        <v>0</v>
      </c>
      <c r="AG114">
        <v>0.04</v>
      </c>
      <c r="AH114">
        <v>2</v>
      </c>
      <c r="AI114">
        <v>27551607</v>
      </c>
      <c r="AJ114">
        <v>116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ROW(Source!A135)</f>
        <v>135</v>
      </c>
      <c r="B115">
        <v>27551621</v>
      </c>
      <c r="C115">
        <v>27551598</v>
      </c>
      <c r="D115">
        <v>24453737</v>
      </c>
      <c r="E115">
        <v>1</v>
      </c>
      <c r="F115">
        <v>1</v>
      </c>
      <c r="G115">
        <v>1</v>
      </c>
      <c r="H115">
        <v>3</v>
      </c>
      <c r="I115" t="s">
        <v>296</v>
      </c>
      <c r="J115" t="s">
        <v>297</v>
      </c>
      <c r="K115" t="s">
        <v>298</v>
      </c>
      <c r="L115">
        <v>1348</v>
      </c>
      <c r="N115">
        <v>1009</v>
      </c>
      <c r="O115" t="s">
        <v>87</v>
      </c>
      <c r="P115" t="s">
        <v>87</v>
      </c>
      <c r="Q115">
        <v>1000</v>
      </c>
      <c r="X115">
        <v>0.0062</v>
      </c>
      <c r="Y115">
        <v>5989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0.0062</v>
      </c>
      <c r="AH115">
        <v>2</v>
      </c>
      <c r="AI115">
        <v>27551608</v>
      </c>
      <c r="AJ115">
        <v>117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ROW(Source!A135)</f>
        <v>135</v>
      </c>
      <c r="B116">
        <v>27551622</v>
      </c>
      <c r="C116">
        <v>27551598</v>
      </c>
      <c r="D116">
        <v>24454303</v>
      </c>
      <c r="E116">
        <v>1</v>
      </c>
      <c r="F116">
        <v>1</v>
      </c>
      <c r="G116">
        <v>1</v>
      </c>
      <c r="H116">
        <v>3</v>
      </c>
      <c r="I116" t="s">
        <v>299</v>
      </c>
      <c r="J116" t="s">
        <v>300</v>
      </c>
      <c r="K116" t="s">
        <v>301</v>
      </c>
      <c r="L116">
        <v>1348</v>
      </c>
      <c r="N116">
        <v>1009</v>
      </c>
      <c r="O116" t="s">
        <v>87</v>
      </c>
      <c r="P116" t="s">
        <v>87</v>
      </c>
      <c r="Q116">
        <v>1000</v>
      </c>
      <c r="X116">
        <v>0.0108</v>
      </c>
      <c r="Y116">
        <v>1690.01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0.0108</v>
      </c>
      <c r="AH116">
        <v>2</v>
      </c>
      <c r="AI116">
        <v>27551609</v>
      </c>
      <c r="AJ116">
        <v>118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ROW(Source!A135)</f>
        <v>135</v>
      </c>
      <c r="B117">
        <v>27551623</v>
      </c>
      <c r="C117">
        <v>27551598</v>
      </c>
      <c r="D117">
        <v>24456400</v>
      </c>
      <c r="E117">
        <v>1</v>
      </c>
      <c r="F117">
        <v>1</v>
      </c>
      <c r="G117">
        <v>1</v>
      </c>
      <c r="H117">
        <v>3</v>
      </c>
      <c r="I117" t="s">
        <v>302</v>
      </c>
      <c r="J117" t="s">
        <v>303</v>
      </c>
      <c r="K117" t="s">
        <v>304</v>
      </c>
      <c r="L117">
        <v>1339</v>
      </c>
      <c r="N117">
        <v>1007</v>
      </c>
      <c r="O117" t="s">
        <v>99</v>
      </c>
      <c r="P117" t="s">
        <v>99</v>
      </c>
      <c r="Q117">
        <v>1</v>
      </c>
      <c r="X117">
        <v>0.15</v>
      </c>
      <c r="Y117">
        <v>1287.01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0.15</v>
      </c>
      <c r="AH117">
        <v>2</v>
      </c>
      <c r="AI117">
        <v>27551610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ROW(Source!A135)</f>
        <v>135</v>
      </c>
      <c r="B118">
        <v>27551624</v>
      </c>
      <c r="C118">
        <v>27551598</v>
      </c>
      <c r="D118">
        <v>24472221</v>
      </c>
      <c r="E118">
        <v>1</v>
      </c>
      <c r="F118">
        <v>1</v>
      </c>
      <c r="G118">
        <v>1</v>
      </c>
      <c r="H118">
        <v>3</v>
      </c>
      <c r="I118" t="s">
        <v>305</v>
      </c>
      <c r="J118" t="s">
        <v>306</v>
      </c>
      <c r="K118" t="s">
        <v>307</v>
      </c>
      <c r="L118">
        <v>1348</v>
      </c>
      <c r="N118">
        <v>1009</v>
      </c>
      <c r="O118" t="s">
        <v>87</v>
      </c>
      <c r="P118" t="s">
        <v>87</v>
      </c>
      <c r="Q118">
        <v>1000</v>
      </c>
      <c r="X118">
        <v>96.6</v>
      </c>
      <c r="Y118">
        <v>535.5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96.6</v>
      </c>
      <c r="AH118">
        <v>2</v>
      </c>
      <c r="AI118">
        <v>27551611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ROW(Source!A136)</f>
        <v>136</v>
      </c>
      <c r="B119">
        <v>27551631</v>
      </c>
      <c r="C119">
        <v>27551625</v>
      </c>
      <c r="D119">
        <v>24506163</v>
      </c>
      <c r="E119">
        <v>1</v>
      </c>
      <c r="F119">
        <v>1</v>
      </c>
      <c r="G119">
        <v>1</v>
      </c>
      <c r="H119">
        <v>1</v>
      </c>
      <c r="I119" t="s">
        <v>282</v>
      </c>
      <c r="K119" t="s">
        <v>283</v>
      </c>
      <c r="L119">
        <v>1369</v>
      </c>
      <c r="N119">
        <v>1013</v>
      </c>
      <c r="O119" t="s">
        <v>228</v>
      </c>
      <c r="P119" t="s">
        <v>228</v>
      </c>
      <c r="Q119">
        <v>1</v>
      </c>
      <c r="X119">
        <v>0.09</v>
      </c>
      <c r="Y119">
        <v>0</v>
      </c>
      <c r="Z119">
        <v>0</v>
      </c>
      <c r="AA119">
        <v>0</v>
      </c>
      <c r="AB119">
        <v>9.62</v>
      </c>
      <c r="AC119">
        <v>0</v>
      </c>
      <c r="AD119">
        <v>1</v>
      </c>
      <c r="AE119">
        <v>1</v>
      </c>
      <c r="AF119" t="s">
        <v>122</v>
      </c>
      <c r="AG119">
        <v>0.18</v>
      </c>
      <c r="AH119">
        <v>2</v>
      </c>
      <c r="AI119">
        <v>27551626</v>
      </c>
      <c r="AJ119">
        <v>121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ROW(Source!A136)</f>
        <v>136</v>
      </c>
      <c r="B120">
        <v>27551632</v>
      </c>
      <c r="C120">
        <v>27551625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28</v>
      </c>
      <c r="K120" t="s">
        <v>229</v>
      </c>
      <c r="L120">
        <v>608254</v>
      </c>
      <c r="N120">
        <v>1013</v>
      </c>
      <c r="O120" t="s">
        <v>230</v>
      </c>
      <c r="P120" t="s">
        <v>230</v>
      </c>
      <c r="Q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122</v>
      </c>
      <c r="AG120">
        <v>0</v>
      </c>
      <c r="AH120">
        <v>2</v>
      </c>
      <c r="AI120">
        <v>27551627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ROW(Source!A136)</f>
        <v>136</v>
      </c>
      <c r="B121">
        <v>27551633</v>
      </c>
      <c r="C121">
        <v>27551625</v>
      </c>
      <c r="D121">
        <v>24451446</v>
      </c>
      <c r="E121">
        <v>1</v>
      </c>
      <c r="F121">
        <v>1</v>
      </c>
      <c r="G121">
        <v>1</v>
      </c>
      <c r="H121">
        <v>2</v>
      </c>
      <c r="I121" t="s">
        <v>284</v>
      </c>
      <c r="J121" t="s">
        <v>285</v>
      </c>
      <c r="K121" t="s">
        <v>286</v>
      </c>
      <c r="L121">
        <v>1368</v>
      </c>
      <c r="N121">
        <v>1011</v>
      </c>
      <c r="O121" t="s">
        <v>236</v>
      </c>
      <c r="P121" t="s">
        <v>236</v>
      </c>
      <c r="Q121">
        <v>1</v>
      </c>
      <c r="X121">
        <v>0.18</v>
      </c>
      <c r="Y121">
        <v>0</v>
      </c>
      <c r="Z121">
        <v>17.2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122</v>
      </c>
      <c r="AG121">
        <v>0.36</v>
      </c>
      <c r="AH121">
        <v>2</v>
      </c>
      <c r="AI121">
        <v>27551628</v>
      </c>
      <c r="AJ121">
        <v>123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ROW(Source!A136)</f>
        <v>136</v>
      </c>
      <c r="B122">
        <v>27551634</v>
      </c>
      <c r="C122">
        <v>27551625</v>
      </c>
      <c r="D122">
        <v>24454303</v>
      </c>
      <c r="E122">
        <v>1</v>
      </c>
      <c r="F122">
        <v>1</v>
      </c>
      <c r="G122">
        <v>1</v>
      </c>
      <c r="H122">
        <v>3</v>
      </c>
      <c r="I122" t="s">
        <v>299</v>
      </c>
      <c r="J122" t="s">
        <v>300</v>
      </c>
      <c r="K122" t="s">
        <v>301</v>
      </c>
      <c r="L122">
        <v>1348</v>
      </c>
      <c r="N122">
        <v>1009</v>
      </c>
      <c r="O122" t="s">
        <v>87</v>
      </c>
      <c r="P122" t="s">
        <v>87</v>
      </c>
      <c r="Q122">
        <v>1000</v>
      </c>
      <c r="X122">
        <v>0.0014</v>
      </c>
      <c r="Y122">
        <v>1690.01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122</v>
      </c>
      <c r="AG122">
        <v>0.0028</v>
      </c>
      <c r="AH122">
        <v>2</v>
      </c>
      <c r="AI122">
        <v>27551629</v>
      </c>
      <c r="AJ122">
        <v>124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ROW(Source!A136)</f>
        <v>136</v>
      </c>
      <c r="B123">
        <v>27551635</v>
      </c>
      <c r="C123">
        <v>27551625</v>
      </c>
      <c r="D123">
        <v>24472221</v>
      </c>
      <c r="E123">
        <v>1</v>
      </c>
      <c r="F123">
        <v>1</v>
      </c>
      <c r="G123">
        <v>1</v>
      </c>
      <c r="H123">
        <v>3</v>
      </c>
      <c r="I123" t="s">
        <v>305</v>
      </c>
      <c r="J123" t="s">
        <v>306</v>
      </c>
      <c r="K123" t="s">
        <v>307</v>
      </c>
      <c r="L123">
        <v>1348</v>
      </c>
      <c r="N123">
        <v>1009</v>
      </c>
      <c r="O123" t="s">
        <v>87</v>
      </c>
      <c r="P123" t="s">
        <v>87</v>
      </c>
      <c r="Q123">
        <v>1000</v>
      </c>
      <c r="X123">
        <v>12.1</v>
      </c>
      <c r="Y123">
        <v>535.5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122</v>
      </c>
      <c r="AG123">
        <v>24.2</v>
      </c>
      <c r="AH123">
        <v>2</v>
      </c>
      <c r="AI123">
        <v>27551630</v>
      </c>
      <c r="AJ123">
        <v>125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ROW(Source!A158)</f>
        <v>158</v>
      </c>
      <c r="B124">
        <v>27551674</v>
      </c>
      <c r="C124">
        <v>27551668</v>
      </c>
      <c r="D124">
        <v>4923864</v>
      </c>
      <c r="E124">
        <v>1</v>
      </c>
      <c r="F124">
        <v>1</v>
      </c>
      <c r="G124">
        <v>1</v>
      </c>
      <c r="H124">
        <v>1</v>
      </c>
      <c r="I124" t="s">
        <v>252</v>
      </c>
      <c r="K124" t="s">
        <v>253</v>
      </c>
      <c r="L124">
        <v>1369</v>
      </c>
      <c r="N124">
        <v>1013</v>
      </c>
      <c r="O124" t="s">
        <v>228</v>
      </c>
      <c r="P124" t="s">
        <v>228</v>
      </c>
      <c r="Q124">
        <v>1</v>
      </c>
      <c r="X124">
        <v>15.08</v>
      </c>
      <c r="Y124">
        <v>0</v>
      </c>
      <c r="Z124">
        <v>0</v>
      </c>
      <c r="AA124">
        <v>0</v>
      </c>
      <c r="AB124">
        <v>7.8</v>
      </c>
      <c r="AC124">
        <v>0</v>
      </c>
      <c r="AD124">
        <v>1</v>
      </c>
      <c r="AE124">
        <v>1</v>
      </c>
      <c r="AG124">
        <v>15.08</v>
      </c>
      <c r="AH124">
        <v>2</v>
      </c>
      <c r="AI124">
        <v>27551669</v>
      </c>
      <c r="AJ124">
        <v>126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ROW(Source!A158)</f>
        <v>158</v>
      </c>
      <c r="B125">
        <v>27551675</v>
      </c>
      <c r="C125">
        <v>27551668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28</v>
      </c>
      <c r="K125" t="s">
        <v>229</v>
      </c>
      <c r="L125">
        <v>608254</v>
      </c>
      <c r="N125">
        <v>1013</v>
      </c>
      <c r="O125" t="s">
        <v>230</v>
      </c>
      <c r="P125" t="s">
        <v>230</v>
      </c>
      <c r="Q125">
        <v>1</v>
      </c>
      <c r="X125">
        <v>43.62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G125">
        <v>43.62</v>
      </c>
      <c r="AH125">
        <v>2</v>
      </c>
      <c r="AI125">
        <v>27551670</v>
      </c>
      <c r="AJ125">
        <v>127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ROW(Source!A158)</f>
        <v>158</v>
      </c>
      <c r="B126">
        <v>27551676</v>
      </c>
      <c r="C126">
        <v>27551668</v>
      </c>
      <c r="D126">
        <v>12108308</v>
      </c>
      <c r="E126">
        <v>1</v>
      </c>
      <c r="F126">
        <v>1</v>
      </c>
      <c r="G126">
        <v>1</v>
      </c>
      <c r="H126">
        <v>2</v>
      </c>
      <c r="I126" t="s">
        <v>254</v>
      </c>
      <c r="J126" t="s">
        <v>255</v>
      </c>
      <c r="K126" t="s">
        <v>256</v>
      </c>
      <c r="L126">
        <v>1368</v>
      </c>
      <c r="N126">
        <v>1011</v>
      </c>
      <c r="O126" t="s">
        <v>236</v>
      </c>
      <c r="P126" t="s">
        <v>236</v>
      </c>
      <c r="Q126">
        <v>1</v>
      </c>
      <c r="X126">
        <v>33.28</v>
      </c>
      <c r="Y126">
        <v>0</v>
      </c>
      <c r="Z126">
        <v>100</v>
      </c>
      <c r="AA126">
        <v>13.5</v>
      </c>
      <c r="AB126">
        <v>0</v>
      </c>
      <c r="AC126">
        <v>0</v>
      </c>
      <c r="AD126">
        <v>1</v>
      </c>
      <c r="AE126">
        <v>0</v>
      </c>
      <c r="AG126">
        <v>33.28</v>
      </c>
      <c r="AH126">
        <v>2</v>
      </c>
      <c r="AI126">
        <v>27551671</v>
      </c>
      <c r="AJ126">
        <v>128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ROW(Source!A158)</f>
        <v>158</v>
      </c>
      <c r="B127">
        <v>27551677</v>
      </c>
      <c r="C127">
        <v>27551668</v>
      </c>
      <c r="D127">
        <v>12108430</v>
      </c>
      <c r="E127">
        <v>1</v>
      </c>
      <c r="F127">
        <v>1</v>
      </c>
      <c r="G127">
        <v>1</v>
      </c>
      <c r="H127">
        <v>2</v>
      </c>
      <c r="I127" t="s">
        <v>257</v>
      </c>
      <c r="J127" t="s">
        <v>258</v>
      </c>
      <c r="K127" t="s">
        <v>259</v>
      </c>
      <c r="L127">
        <v>1368</v>
      </c>
      <c r="N127">
        <v>1011</v>
      </c>
      <c r="O127" t="s">
        <v>236</v>
      </c>
      <c r="P127" t="s">
        <v>236</v>
      </c>
      <c r="Q127">
        <v>1</v>
      </c>
      <c r="X127">
        <v>10.34</v>
      </c>
      <c r="Y127">
        <v>0</v>
      </c>
      <c r="Z127">
        <v>80</v>
      </c>
      <c r="AA127">
        <v>14.4</v>
      </c>
      <c r="AB127">
        <v>0</v>
      </c>
      <c r="AC127">
        <v>0</v>
      </c>
      <c r="AD127">
        <v>1</v>
      </c>
      <c r="AE127">
        <v>0</v>
      </c>
      <c r="AG127">
        <v>10.34</v>
      </c>
      <c r="AH127">
        <v>2</v>
      </c>
      <c r="AI127">
        <v>27551672</v>
      </c>
      <c r="AJ127">
        <v>129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ROW(Source!A158)</f>
        <v>158</v>
      </c>
      <c r="B128">
        <v>27551678</v>
      </c>
      <c r="C128">
        <v>27551668</v>
      </c>
      <c r="D128">
        <v>12042760</v>
      </c>
      <c r="E128">
        <v>1</v>
      </c>
      <c r="F128">
        <v>1</v>
      </c>
      <c r="G128">
        <v>1</v>
      </c>
      <c r="H128">
        <v>3</v>
      </c>
      <c r="I128" t="s">
        <v>260</v>
      </c>
      <c r="J128" t="s">
        <v>261</v>
      </c>
      <c r="K128" t="s">
        <v>262</v>
      </c>
      <c r="L128">
        <v>1339</v>
      </c>
      <c r="N128">
        <v>1007</v>
      </c>
      <c r="O128" t="s">
        <v>99</v>
      </c>
      <c r="P128" t="s">
        <v>99</v>
      </c>
      <c r="Q128">
        <v>1</v>
      </c>
      <c r="X128">
        <v>0.04</v>
      </c>
      <c r="Y128">
        <v>108.4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0.04</v>
      </c>
      <c r="AH128">
        <v>2</v>
      </c>
      <c r="AI128">
        <v>27551673</v>
      </c>
      <c r="AJ128">
        <v>130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ROW(Source!A160)</f>
        <v>160</v>
      </c>
      <c r="B129">
        <v>27551687</v>
      </c>
      <c r="C129">
        <v>27551679</v>
      </c>
      <c r="D129">
        <v>24503104</v>
      </c>
      <c r="E129">
        <v>1</v>
      </c>
      <c r="F129">
        <v>1</v>
      </c>
      <c r="G129">
        <v>1</v>
      </c>
      <c r="H129">
        <v>1</v>
      </c>
      <c r="I129" t="s">
        <v>226</v>
      </c>
      <c r="K129" t="s">
        <v>227</v>
      </c>
      <c r="L129">
        <v>1369</v>
      </c>
      <c r="N129">
        <v>1013</v>
      </c>
      <c r="O129" t="s">
        <v>228</v>
      </c>
      <c r="P129" t="s">
        <v>228</v>
      </c>
      <c r="Q129">
        <v>1</v>
      </c>
      <c r="X129">
        <v>15.72</v>
      </c>
      <c r="Y129">
        <v>0</v>
      </c>
      <c r="Z129">
        <v>0</v>
      </c>
      <c r="AA129">
        <v>0</v>
      </c>
      <c r="AB129">
        <v>8.02</v>
      </c>
      <c r="AC129">
        <v>0</v>
      </c>
      <c r="AD129">
        <v>1</v>
      </c>
      <c r="AE129">
        <v>1</v>
      </c>
      <c r="AG129">
        <v>15.72</v>
      </c>
      <c r="AH129">
        <v>2</v>
      </c>
      <c r="AI129">
        <v>27551680</v>
      </c>
      <c r="AJ129">
        <v>131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ROW(Source!A160)</f>
        <v>160</v>
      </c>
      <c r="B130">
        <v>27551688</v>
      </c>
      <c r="C130">
        <v>27551679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28</v>
      </c>
      <c r="K130" t="s">
        <v>229</v>
      </c>
      <c r="L130">
        <v>608254</v>
      </c>
      <c r="N130">
        <v>1013</v>
      </c>
      <c r="O130" t="s">
        <v>230</v>
      </c>
      <c r="P130" t="s">
        <v>230</v>
      </c>
      <c r="Q130">
        <v>1</v>
      </c>
      <c r="X130">
        <v>13.88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2</v>
      </c>
      <c r="AG130">
        <v>13.88</v>
      </c>
      <c r="AH130">
        <v>2</v>
      </c>
      <c r="AI130">
        <v>27551681</v>
      </c>
      <c r="AJ130">
        <v>132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ROW(Source!A160)</f>
        <v>160</v>
      </c>
      <c r="B131">
        <v>27551689</v>
      </c>
      <c r="C131">
        <v>27551679</v>
      </c>
      <c r="D131">
        <v>24450908</v>
      </c>
      <c r="E131">
        <v>1</v>
      </c>
      <c r="F131">
        <v>1</v>
      </c>
      <c r="G131">
        <v>1</v>
      </c>
      <c r="H131">
        <v>2</v>
      </c>
      <c r="I131" t="s">
        <v>263</v>
      </c>
      <c r="J131" t="s">
        <v>264</v>
      </c>
      <c r="K131" t="s">
        <v>265</v>
      </c>
      <c r="L131">
        <v>1368</v>
      </c>
      <c r="N131">
        <v>1011</v>
      </c>
      <c r="O131" t="s">
        <v>236</v>
      </c>
      <c r="P131" t="s">
        <v>236</v>
      </c>
      <c r="Q131">
        <v>1</v>
      </c>
      <c r="X131">
        <v>4.29</v>
      </c>
      <c r="Y131">
        <v>0</v>
      </c>
      <c r="Z131">
        <v>99.89</v>
      </c>
      <c r="AA131">
        <v>10.06</v>
      </c>
      <c r="AB131">
        <v>0</v>
      </c>
      <c r="AC131">
        <v>0</v>
      </c>
      <c r="AD131">
        <v>1</v>
      </c>
      <c r="AE131">
        <v>0</v>
      </c>
      <c r="AG131">
        <v>4.29</v>
      </c>
      <c r="AH131">
        <v>2</v>
      </c>
      <c r="AI131">
        <v>27551682</v>
      </c>
      <c r="AJ131">
        <v>133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ROW(Source!A160)</f>
        <v>160</v>
      </c>
      <c r="B132">
        <v>27551690</v>
      </c>
      <c r="C132">
        <v>27551679</v>
      </c>
      <c r="D132">
        <v>24451440</v>
      </c>
      <c r="E132">
        <v>1</v>
      </c>
      <c r="F132">
        <v>1</v>
      </c>
      <c r="G132">
        <v>1</v>
      </c>
      <c r="H132">
        <v>2</v>
      </c>
      <c r="I132" t="s">
        <v>266</v>
      </c>
      <c r="J132" t="s">
        <v>267</v>
      </c>
      <c r="K132" t="s">
        <v>268</v>
      </c>
      <c r="L132">
        <v>1368</v>
      </c>
      <c r="N132">
        <v>1011</v>
      </c>
      <c r="O132" t="s">
        <v>236</v>
      </c>
      <c r="P132" t="s">
        <v>236</v>
      </c>
      <c r="Q132">
        <v>1</v>
      </c>
      <c r="X132">
        <v>1.77</v>
      </c>
      <c r="Y132">
        <v>0</v>
      </c>
      <c r="Z132">
        <v>123</v>
      </c>
      <c r="AA132">
        <v>13.5</v>
      </c>
      <c r="AB132">
        <v>0</v>
      </c>
      <c r="AC132">
        <v>0</v>
      </c>
      <c r="AD132">
        <v>1</v>
      </c>
      <c r="AE132">
        <v>0</v>
      </c>
      <c r="AG132">
        <v>1.77</v>
      </c>
      <c r="AH132">
        <v>2</v>
      </c>
      <c r="AI132">
        <v>27551683</v>
      </c>
      <c r="AJ132">
        <v>134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ROW(Source!A160)</f>
        <v>160</v>
      </c>
      <c r="B133">
        <v>27551691</v>
      </c>
      <c r="C133">
        <v>27551679</v>
      </c>
      <c r="D133">
        <v>24451470</v>
      </c>
      <c r="E133">
        <v>1</v>
      </c>
      <c r="F133">
        <v>1</v>
      </c>
      <c r="G133">
        <v>1</v>
      </c>
      <c r="H133">
        <v>2</v>
      </c>
      <c r="I133" t="s">
        <v>269</v>
      </c>
      <c r="J133" t="s">
        <v>270</v>
      </c>
      <c r="K133" t="s">
        <v>271</v>
      </c>
      <c r="L133">
        <v>1368</v>
      </c>
      <c r="N133">
        <v>1011</v>
      </c>
      <c r="O133" t="s">
        <v>236</v>
      </c>
      <c r="P133" t="s">
        <v>236</v>
      </c>
      <c r="Q133">
        <v>1</v>
      </c>
      <c r="X133">
        <v>7.08</v>
      </c>
      <c r="Y133">
        <v>0</v>
      </c>
      <c r="Z133">
        <v>206.01</v>
      </c>
      <c r="AA133">
        <v>14.4</v>
      </c>
      <c r="AB133">
        <v>0</v>
      </c>
      <c r="AC133">
        <v>0</v>
      </c>
      <c r="AD133">
        <v>1</v>
      </c>
      <c r="AE133">
        <v>0</v>
      </c>
      <c r="AG133">
        <v>7.08</v>
      </c>
      <c r="AH133">
        <v>2</v>
      </c>
      <c r="AI133">
        <v>27551684</v>
      </c>
      <c r="AJ133">
        <v>135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ROW(Source!A160)</f>
        <v>160</v>
      </c>
      <c r="B134">
        <v>27551692</v>
      </c>
      <c r="C134">
        <v>27551679</v>
      </c>
      <c r="D134">
        <v>24451524</v>
      </c>
      <c r="E134">
        <v>1</v>
      </c>
      <c r="F134">
        <v>1</v>
      </c>
      <c r="G134">
        <v>1</v>
      </c>
      <c r="H134">
        <v>2</v>
      </c>
      <c r="I134" t="s">
        <v>272</v>
      </c>
      <c r="J134" t="s">
        <v>273</v>
      </c>
      <c r="K134" t="s">
        <v>274</v>
      </c>
      <c r="L134">
        <v>1368</v>
      </c>
      <c r="N134">
        <v>1011</v>
      </c>
      <c r="O134" t="s">
        <v>236</v>
      </c>
      <c r="P134" t="s">
        <v>236</v>
      </c>
      <c r="Q134">
        <v>1</v>
      </c>
      <c r="X134">
        <v>0.74</v>
      </c>
      <c r="Y134">
        <v>0</v>
      </c>
      <c r="Z134">
        <v>110</v>
      </c>
      <c r="AA134">
        <v>11.6</v>
      </c>
      <c r="AB134">
        <v>0</v>
      </c>
      <c r="AC134">
        <v>0</v>
      </c>
      <c r="AD134">
        <v>1</v>
      </c>
      <c r="AE134">
        <v>0</v>
      </c>
      <c r="AG134">
        <v>0.74</v>
      </c>
      <c r="AH134">
        <v>2</v>
      </c>
      <c r="AI134">
        <v>27551685</v>
      </c>
      <c r="AJ134">
        <v>136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ROW(Source!A160)</f>
        <v>160</v>
      </c>
      <c r="B135">
        <v>27551693</v>
      </c>
      <c r="C135">
        <v>27551679</v>
      </c>
      <c r="D135">
        <v>24472163</v>
      </c>
      <c r="E135">
        <v>1</v>
      </c>
      <c r="F135">
        <v>1</v>
      </c>
      <c r="G135">
        <v>1</v>
      </c>
      <c r="H135">
        <v>3</v>
      </c>
      <c r="I135" t="s">
        <v>329</v>
      </c>
      <c r="J135" t="s">
        <v>330</v>
      </c>
      <c r="K135" t="s">
        <v>331</v>
      </c>
      <c r="L135">
        <v>1339</v>
      </c>
      <c r="N135">
        <v>1007</v>
      </c>
      <c r="O135" t="s">
        <v>99</v>
      </c>
      <c r="P135" t="s">
        <v>99</v>
      </c>
      <c r="Q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G135">
        <v>0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ROW(Source!A160)</f>
        <v>160</v>
      </c>
      <c r="B136">
        <v>27551694</v>
      </c>
      <c r="C136">
        <v>27551679</v>
      </c>
      <c r="D136">
        <v>24472293</v>
      </c>
      <c r="E136">
        <v>1</v>
      </c>
      <c r="F136">
        <v>1</v>
      </c>
      <c r="G136">
        <v>1</v>
      </c>
      <c r="H136">
        <v>3</v>
      </c>
      <c r="I136" t="s">
        <v>275</v>
      </c>
      <c r="J136" t="s">
        <v>276</v>
      </c>
      <c r="K136" t="s">
        <v>277</v>
      </c>
      <c r="L136">
        <v>1339</v>
      </c>
      <c r="N136">
        <v>1007</v>
      </c>
      <c r="O136" t="s">
        <v>99</v>
      </c>
      <c r="P136" t="s">
        <v>99</v>
      </c>
      <c r="Q136">
        <v>1</v>
      </c>
      <c r="X136">
        <v>5</v>
      </c>
      <c r="Y136">
        <v>2.44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5</v>
      </c>
      <c r="AH136">
        <v>2</v>
      </c>
      <c r="AI136">
        <v>27551686</v>
      </c>
      <c r="AJ136">
        <v>138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ROW(Source!A162)</f>
        <v>162</v>
      </c>
      <c r="B137">
        <v>27551706</v>
      </c>
      <c r="C137">
        <v>27551697</v>
      </c>
      <c r="D137">
        <v>24505038</v>
      </c>
      <c r="E137">
        <v>1</v>
      </c>
      <c r="F137">
        <v>1</v>
      </c>
      <c r="G137">
        <v>1</v>
      </c>
      <c r="H137">
        <v>1</v>
      </c>
      <c r="I137" t="s">
        <v>278</v>
      </c>
      <c r="K137" t="s">
        <v>279</v>
      </c>
      <c r="L137">
        <v>1369</v>
      </c>
      <c r="N137">
        <v>1013</v>
      </c>
      <c r="O137" t="s">
        <v>228</v>
      </c>
      <c r="P137" t="s">
        <v>228</v>
      </c>
      <c r="Q137">
        <v>1</v>
      </c>
      <c r="X137">
        <v>24.19</v>
      </c>
      <c r="Y137">
        <v>0</v>
      </c>
      <c r="Z137">
        <v>0</v>
      </c>
      <c r="AA137">
        <v>0</v>
      </c>
      <c r="AB137">
        <v>8.09</v>
      </c>
      <c r="AC137">
        <v>0</v>
      </c>
      <c r="AD137">
        <v>1</v>
      </c>
      <c r="AE137">
        <v>1</v>
      </c>
      <c r="AG137">
        <v>24.19</v>
      </c>
      <c r="AH137">
        <v>2</v>
      </c>
      <c r="AI137">
        <v>27551698</v>
      </c>
      <c r="AJ137">
        <v>139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ROW(Source!A162)</f>
        <v>162</v>
      </c>
      <c r="B138">
        <v>27551707</v>
      </c>
      <c r="C138">
        <v>27551697</v>
      </c>
      <c r="D138">
        <v>121548</v>
      </c>
      <c r="E138">
        <v>1</v>
      </c>
      <c r="F138">
        <v>1</v>
      </c>
      <c r="G138">
        <v>1</v>
      </c>
      <c r="H138">
        <v>1</v>
      </c>
      <c r="I138" t="s">
        <v>28</v>
      </c>
      <c r="K138" t="s">
        <v>229</v>
      </c>
      <c r="L138">
        <v>608254</v>
      </c>
      <c r="N138">
        <v>1013</v>
      </c>
      <c r="O138" t="s">
        <v>230</v>
      </c>
      <c r="P138" t="s">
        <v>230</v>
      </c>
      <c r="Q138">
        <v>1</v>
      </c>
      <c r="X138">
        <v>20.6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2</v>
      </c>
      <c r="AG138">
        <v>20.6</v>
      </c>
      <c r="AH138">
        <v>2</v>
      </c>
      <c r="AI138">
        <v>27551699</v>
      </c>
      <c r="AJ138">
        <v>140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ROW(Source!A162)</f>
        <v>162</v>
      </c>
      <c r="B139">
        <v>27551708</v>
      </c>
      <c r="C139">
        <v>27551697</v>
      </c>
      <c r="D139">
        <v>24450908</v>
      </c>
      <c r="E139">
        <v>1</v>
      </c>
      <c r="F139">
        <v>1</v>
      </c>
      <c r="G139">
        <v>1</v>
      </c>
      <c r="H139">
        <v>2</v>
      </c>
      <c r="I139" t="s">
        <v>263</v>
      </c>
      <c r="J139" t="s">
        <v>264</v>
      </c>
      <c r="K139" t="s">
        <v>265</v>
      </c>
      <c r="L139">
        <v>1368</v>
      </c>
      <c r="N139">
        <v>1011</v>
      </c>
      <c r="O139" t="s">
        <v>236</v>
      </c>
      <c r="P139" t="s">
        <v>236</v>
      </c>
      <c r="Q139">
        <v>1</v>
      </c>
      <c r="X139">
        <v>2.46</v>
      </c>
      <c r="Y139">
        <v>0</v>
      </c>
      <c r="Z139">
        <v>99.89</v>
      </c>
      <c r="AA139">
        <v>10.06</v>
      </c>
      <c r="AB139">
        <v>0</v>
      </c>
      <c r="AC139">
        <v>0</v>
      </c>
      <c r="AD139">
        <v>1</v>
      </c>
      <c r="AE139">
        <v>0</v>
      </c>
      <c r="AG139">
        <v>2.46</v>
      </c>
      <c r="AH139">
        <v>2</v>
      </c>
      <c r="AI139">
        <v>27551700</v>
      </c>
      <c r="AJ139">
        <v>141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ROW(Source!A162)</f>
        <v>162</v>
      </c>
      <c r="B140">
        <v>27551709</v>
      </c>
      <c r="C140">
        <v>27551697</v>
      </c>
      <c r="D140">
        <v>24451199</v>
      </c>
      <c r="E140">
        <v>1</v>
      </c>
      <c r="F140">
        <v>1</v>
      </c>
      <c r="G140">
        <v>1</v>
      </c>
      <c r="H140">
        <v>2</v>
      </c>
      <c r="I140" t="s">
        <v>257</v>
      </c>
      <c r="J140" t="s">
        <v>280</v>
      </c>
      <c r="K140" t="s">
        <v>281</v>
      </c>
      <c r="L140">
        <v>1368</v>
      </c>
      <c r="N140">
        <v>1011</v>
      </c>
      <c r="O140" t="s">
        <v>236</v>
      </c>
      <c r="P140" t="s">
        <v>236</v>
      </c>
      <c r="Q140">
        <v>1</v>
      </c>
      <c r="X140">
        <v>2.59</v>
      </c>
      <c r="Y140">
        <v>0</v>
      </c>
      <c r="Z140">
        <v>80.01</v>
      </c>
      <c r="AA140">
        <v>14.4</v>
      </c>
      <c r="AB140">
        <v>0</v>
      </c>
      <c r="AC140">
        <v>0</v>
      </c>
      <c r="AD140">
        <v>1</v>
      </c>
      <c r="AE140">
        <v>0</v>
      </c>
      <c r="AG140">
        <v>2.59</v>
      </c>
      <c r="AH140">
        <v>2</v>
      </c>
      <c r="AI140">
        <v>27551701</v>
      </c>
      <c r="AJ140">
        <v>142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ROW(Source!A162)</f>
        <v>162</v>
      </c>
      <c r="B141">
        <v>27551710</v>
      </c>
      <c r="C141">
        <v>27551697</v>
      </c>
      <c r="D141">
        <v>24451440</v>
      </c>
      <c r="E141">
        <v>1</v>
      </c>
      <c r="F141">
        <v>1</v>
      </c>
      <c r="G141">
        <v>1</v>
      </c>
      <c r="H141">
        <v>2</v>
      </c>
      <c r="I141" t="s">
        <v>266</v>
      </c>
      <c r="J141" t="s">
        <v>267</v>
      </c>
      <c r="K141" t="s">
        <v>268</v>
      </c>
      <c r="L141">
        <v>1368</v>
      </c>
      <c r="N141">
        <v>1011</v>
      </c>
      <c r="O141" t="s">
        <v>236</v>
      </c>
      <c r="P141" t="s">
        <v>236</v>
      </c>
      <c r="Q141">
        <v>1</v>
      </c>
      <c r="X141">
        <v>2.3</v>
      </c>
      <c r="Y141">
        <v>0</v>
      </c>
      <c r="Z141">
        <v>123</v>
      </c>
      <c r="AA141">
        <v>13.5</v>
      </c>
      <c r="AB141">
        <v>0</v>
      </c>
      <c r="AC141">
        <v>0</v>
      </c>
      <c r="AD141">
        <v>1</v>
      </c>
      <c r="AE141">
        <v>0</v>
      </c>
      <c r="AG141">
        <v>2.3</v>
      </c>
      <c r="AH141">
        <v>2</v>
      </c>
      <c r="AI141">
        <v>27551702</v>
      </c>
      <c r="AJ141">
        <v>143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ROW(Source!A162)</f>
        <v>162</v>
      </c>
      <c r="B142">
        <v>27551711</v>
      </c>
      <c r="C142">
        <v>27551697</v>
      </c>
      <c r="D142">
        <v>24451470</v>
      </c>
      <c r="E142">
        <v>1</v>
      </c>
      <c r="F142">
        <v>1</v>
      </c>
      <c r="G142">
        <v>1</v>
      </c>
      <c r="H142">
        <v>2</v>
      </c>
      <c r="I142" t="s">
        <v>269</v>
      </c>
      <c r="J142" t="s">
        <v>270</v>
      </c>
      <c r="K142" t="s">
        <v>271</v>
      </c>
      <c r="L142">
        <v>1368</v>
      </c>
      <c r="N142">
        <v>1011</v>
      </c>
      <c r="O142" t="s">
        <v>236</v>
      </c>
      <c r="P142" t="s">
        <v>236</v>
      </c>
      <c r="Q142">
        <v>1</v>
      </c>
      <c r="X142">
        <v>12.21</v>
      </c>
      <c r="Y142">
        <v>0</v>
      </c>
      <c r="Z142">
        <v>206.01</v>
      </c>
      <c r="AA142">
        <v>14.4</v>
      </c>
      <c r="AB142">
        <v>0</v>
      </c>
      <c r="AC142">
        <v>0</v>
      </c>
      <c r="AD142">
        <v>1</v>
      </c>
      <c r="AE142">
        <v>0</v>
      </c>
      <c r="AG142">
        <v>12.21</v>
      </c>
      <c r="AH142">
        <v>2</v>
      </c>
      <c r="AI142">
        <v>27551703</v>
      </c>
      <c r="AJ142">
        <v>144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ROW(Source!A162)</f>
        <v>162</v>
      </c>
      <c r="B143">
        <v>27551712</v>
      </c>
      <c r="C143">
        <v>27551697</v>
      </c>
      <c r="D143">
        <v>24451524</v>
      </c>
      <c r="E143">
        <v>1</v>
      </c>
      <c r="F143">
        <v>1</v>
      </c>
      <c r="G143">
        <v>1</v>
      </c>
      <c r="H143">
        <v>2</v>
      </c>
      <c r="I143" t="s">
        <v>272</v>
      </c>
      <c r="J143" t="s">
        <v>273</v>
      </c>
      <c r="K143" t="s">
        <v>274</v>
      </c>
      <c r="L143">
        <v>1368</v>
      </c>
      <c r="N143">
        <v>1011</v>
      </c>
      <c r="O143" t="s">
        <v>236</v>
      </c>
      <c r="P143" t="s">
        <v>236</v>
      </c>
      <c r="Q143">
        <v>1</v>
      </c>
      <c r="X143">
        <v>1.04</v>
      </c>
      <c r="Y143">
        <v>0</v>
      </c>
      <c r="Z143">
        <v>110</v>
      </c>
      <c r="AA143">
        <v>11.6</v>
      </c>
      <c r="AB143">
        <v>0</v>
      </c>
      <c r="AC143">
        <v>0</v>
      </c>
      <c r="AD143">
        <v>1</v>
      </c>
      <c r="AE143">
        <v>0</v>
      </c>
      <c r="AG143">
        <v>1.04</v>
      </c>
      <c r="AH143">
        <v>2</v>
      </c>
      <c r="AI143">
        <v>27551704</v>
      </c>
      <c r="AJ143">
        <v>145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ROW(Source!A162)</f>
        <v>162</v>
      </c>
      <c r="B144">
        <v>27551713</v>
      </c>
      <c r="C144">
        <v>27551697</v>
      </c>
      <c r="D144">
        <v>24472167</v>
      </c>
      <c r="E144">
        <v>1</v>
      </c>
      <c r="F144">
        <v>1</v>
      </c>
      <c r="G144">
        <v>1</v>
      </c>
      <c r="H144">
        <v>3</v>
      </c>
      <c r="I144" t="s">
        <v>332</v>
      </c>
      <c r="J144" t="s">
        <v>333</v>
      </c>
      <c r="K144" t="s">
        <v>334</v>
      </c>
      <c r="L144">
        <v>1339</v>
      </c>
      <c r="N144">
        <v>1007</v>
      </c>
      <c r="O144" t="s">
        <v>99</v>
      </c>
      <c r="P144" t="s">
        <v>99</v>
      </c>
      <c r="Q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G144">
        <v>0</v>
      </c>
      <c r="AH144">
        <v>3</v>
      </c>
      <c r="AI144">
        <v>-1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ROW(Source!A162)</f>
        <v>162</v>
      </c>
      <c r="B145">
        <v>27551714</v>
      </c>
      <c r="C145">
        <v>27551697</v>
      </c>
      <c r="D145">
        <v>24472293</v>
      </c>
      <c r="E145">
        <v>1</v>
      </c>
      <c r="F145">
        <v>1</v>
      </c>
      <c r="G145">
        <v>1</v>
      </c>
      <c r="H145">
        <v>3</v>
      </c>
      <c r="I145" t="s">
        <v>275</v>
      </c>
      <c r="J145" t="s">
        <v>276</v>
      </c>
      <c r="K145" t="s">
        <v>277</v>
      </c>
      <c r="L145">
        <v>1339</v>
      </c>
      <c r="N145">
        <v>1007</v>
      </c>
      <c r="O145" t="s">
        <v>99</v>
      </c>
      <c r="P145" t="s">
        <v>99</v>
      </c>
      <c r="Q145">
        <v>1</v>
      </c>
      <c r="X145">
        <v>7</v>
      </c>
      <c r="Y145">
        <v>2.44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G145">
        <v>7</v>
      </c>
      <c r="AH145">
        <v>2</v>
      </c>
      <c r="AI145">
        <v>27551705</v>
      </c>
      <c r="AJ145">
        <v>147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ROW(Source!A164)</f>
        <v>164</v>
      </c>
      <c r="B146">
        <v>27551747</v>
      </c>
      <c r="C146">
        <v>27551717</v>
      </c>
      <c r="D146">
        <v>24506163</v>
      </c>
      <c r="E146">
        <v>1</v>
      </c>
      <c r="F146">
        <v>1</v>
      </c>
      <c r="G146">
        <v>1</v>
      </c>
      <c r="H146">
        <v>1</v>
      </c>
      <c r="I146" t="s">
        <v>282</v>
      </c>
      <c r="K146" t="s">
        <v>283</v>
      </c>
      <c r="L146">
        <v>1369</v>
      </c>
      <c r="N146">
        <v>1013</v>
      </c>
      <c r="O146" t="s">
        <v>228</v>
      </c>
      <c r="P146" t="s">
        <v>228</v>
      </c>
      <c r="Q146">
        <v>1</v>
      </c>
      <c r="X146">
        <v>38.3</v>
      </c>
      <c r="Y146">
        <v>0</v>
      </c>
      <c r="Z146">
        <v>0</v>
      </c>
      <c r="AA146">
        <v>0</v>
      </c>
      <c r="AB146">
        <v>9.62</v>
      </c>
      <c r="AC146">
        <v>0</v>
      </c>
      <c r="AD146">
        <v>1</v>
      </c>
      <c r="AE146">
        <v>1</v>
      </c>
      <c r="AG146">
        <v>38.3</v>
      </c>
      <c r="AH146">
        <v>2</v>
      </c>
      <c r="AI146">
        <v>27551747</v>
      </c>
      <c r="AJ146">
        <v>148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ROW(Source!A164)</f>
        <v>164</v>
      </c>
      <c r="B147">
        <v>27551748</v>
      </c>
      <c r="C147">
        <v>27551717</v>
      </c>
      <c r="D147">
        <v>121548</v>
      </c>
      <c r="E147">
        <v>1</v>
      </c>
      <c r="F147">
        <v>1</v>
      </c>
      <c r="G147">
        <v>1</v>
      </c>
      <c r="H147">
        <v>1</v>
      </c>
      <c r="I147" t="s">
        <v>28</v>
      </c>
      <c r="K147" t="s">
        <v>229</v>
      </c>
      <c r="L147">
        <v>608254</v>
      </c>
      <c r="N147">
        <v>1013</v>
      </c>
      <c r="O147" t="s">
        <v>230</v>
      </c>
      <c r="P147" t="s">
        <v>230</v>
      </c>
      <c r="Q147">
        <v>1</v>
      </c>
      <c r="X147">
        <v>19.08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G147">
        <v>19.08</v>
      </c>
      <c r="AH147">
        <v>2</v>
      </c>
      <c r="AI147">
        <v>27551748</v>
      </c>
      <c r="AJ147">
        <v>149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ROW(Source!A164)</f>
        <v>164</v>
      </c>
      <c r="B148">
        <v>27551749</v>
      </c>
      <c r="C148">
        <v>27551717</v>
      </c>
      <c r="D148">
        <v>24450839</v>
      </c>
      <c r="E148">
        <v>1</v>
      </c>
      <c r="F148">
        <v>1</v>
      </c>
      <c r="G148">
        <v>1</v>
      </c>
      <c r="H148">
        <v>2</v>
      </c>
      <c r="I148" t="s">
        <v>233</v>
      </c>
      <c r="J148" t="s">
        <v>234</v>
      </c>
      <c r="K148" t="s">
        <v>235</v>
      </c>
      <c r="L148">
        <v>1368</v>
      </c>
      <c r="N148">
        <v>1011</v>
      </c>
      <c r="O148" t="s">
        <v>236</v>
      </c>
      <c r="P148" t="s">
        <v>236</v>
      </c>
      <c r="Q148">
        <v>1</v>
      </c>
      <c r="X148">
        <v>0.03</v>
      </c>
      <c r="Y148">
        <v>0</v>
      </c>
      <c r="Z148">
        <v>112</v>
      </c>
      <c r="AA148">
        <v>13.5</v>
      </c>
      <c r="AB148">
        <v>0</v>
      </c>
      <c r="AC148">
        <v>0</v>
      </c>
      <c r="AD148">
        <v>1</v>
      </c>
      <c r="AE148">
        <v>0</v>
      </c>
      <c r="AG148">
        <v>0.03</v>
      </c>
      <c r="AH148">
        <v>2</v>
      </c>
      <c r="AI148">
        <v>27551749</v>
      </c>
      <c r="AJ148">
        <v>150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ROW(Source!A164)</f>
        <v>164</v>
      </c>
      <c r="B149">
        <v>27551750</v>
      </c>
      <c r="C149">
        <v>27551717</v>
      </c>
      <c r="D149">
        <v>24451446</v>
      </c>
      <c r="E149">
        <v>1</v>
      </c>
      <c r="F149">
        <v>1</v>
      </c>
      <c r="G149">
        <v>1</v>
      </c>
      <c r="H149">
        <v>2</v>
      </c>
      <c r="I149" t="s">
        <v>284</v>
      </c>
      <c r="J149" t="s">
        <v>285</v>
      </c>
      <c r="K149" t="s">
        <v>286</v>
      </c>
      <c r="L149">
        <v>1368</v>
      </c>
      <c r="N149">
        <v>1011</v>
      </c>
      <c r="O149" t="s">
        <v>236</v>
      </c>
      <c r="P149" t="s">
        <v>236</v>
      </c>
      <c r="Q149">
        <v>1</v>
      </c>
      <c r="X149">
        <v>1.4</v>
      </c>
      <c r="Y149">
        <v>0</v>
      </c>
      <c r="Z149">
        <v>17.2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1.4</v>
      </c>
      <c r="AH149">
        <v>2</v>
      </c>
      <c r="AI149">
        <v>27551750</v>
      </c>
      <c r="AJ149">
        <v>151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ROW(Source!A164)</f>
        <v>164</v>
      </c>
      <c r="B150">
        <v>27551751</v>
      </c>
      <c r="C150">
        <v>27551717</v>
      </c>
      <c r="D150">
        <v>24451465</v>
      </c>
      <c r="E150">
        <v>1</v>
      </c>
      <c r="F150">
        <v>1</v>
      </c>
      <c r="G150">
        <v>1</v>
      </c>
      <c r="H150">
        <v>2</v>
      </c>
      <c r="I150" t="s">
        <v>287</v>
      </c>
      <c r="J150" t="s">
        <v>288</v>
      </c>
      <c r="K150" t="s">
        <v>289</v>
      </c>
      <c r="L150">
        <v>1368</v>
      </c>
      <c r="N150">
        <v>1011</v>
      </c>
      <c r="O150" t="s">
        <v>236</v>
      </c>
      <c r="P150" t="s">
        <v>236</v>
      </c>
      <c r="Q150">
        <v>1</v>
      </c>
      <c r="X150">
        <v>3.96</v>
      </c>
      <c r="Y150">
        <v>0</v>
      </c>
      <c r="Z150">
        <v>75</v>
      </c>
      <c r="AA150">
        <v>11.6</v>
      </c>
      <c r="AB150">
        <v>0</v>
      </c>
      <c r="AC150">
        <v>0</v>
      </c>
      <c r="AD150">
        <v>1</v>
      </c>
      <c r="AE150">
        <v>0</v>
      </c>
      <c r="AG150">
        <v>3.96</v>
      </c>
      <c r="AH150">
        <v>2</v>
      </c>
      <c r="AI150">
        <v>27551751</v>
      </c>
      <c r="AJ150">
        <v>152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ROW(Source!A164)</f>
        <v>164</v>
      </c>
      <c r="B151">
        <v>27551752</v>
      </c>
      <c r="C151">
        <v>27551717</v>
      </c>
      <c r="D151">
        <v>24451466</v>
      </c>
      <c r="E151">
        <v>1</v>
      </c>
      <c r="F151">
        <v>1</v>
      </c>
      <c r="G151">
        <v>1</v>
      </c>
      <c r="H151">
        <v>2</v>
      </c>
      <c r="I151" t="s">
        <v>290</v>
      </c>
      <c r="J151" t="s">
        <v>291</v>
      </c>
      <c r="K151" t="s">
        <v>292</v>
      </c>
      <c r="L151">
        <v>1368</v>
      </c>
      <c r="N151">
        <v>1011</v>
      </c>
      <c r="O151" t="s">
        <v>236</v>
      </c>
      <c r="P151" t="s">
        <v>236</v>
      </c>
      <c r="Q151">
        <v>1</v>
      </c>
      <c r="X151">
        <v>11.51</v>
      </c>
      <c r="Y151">
        <v>0</v>
      </c>
      <c r="Z151">
        <v>121</v>
      </c>
      <c r="AA151">
        <v>14.4</v>
      </c>
      <c r="AB151">
        <v>0</v>
      </c>
      <c r="AC151">
        <v>0</v>
      </c>
      <c r="AD151">
        <v>1</v>
      </c>
      <c r="AE151">
        <v>0</v>
      </c>
      <c r="AG151">
        <v>11.51</v>
      </c>
      <c r="AH151">
        <v>2</v>
      </c>
      <c r="AI151">
        <v>27551752</v>
      </c>
      <c r="AJ151">
        <v>153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ROW(Source!A164)</f>
        <v>164</v>
      </c>
      <c r="B152">
        <v>27551753</v>
      </c>
      <c r="C152">
        <v>27551717</v>
      </c>
      <c r="D152">
        <v>24451524</v>
      </c>
      <c r="E152">
        <v>1</v>
      </c>
      <c r="F152">
        <v>1</v>
      </c>
      <c r="G152">
        <v>1</v>
      </c>
      <c r="H152">
        <v>2</v>
      </c>
      <c r="I152" t="s">
        <v>272</v>
      </c>
      <c r="J152" t="s">
        <v>273</v>
      </c>
      <c r="K152" t="s">
        <v>274</v>
      </c>
      <c r="L152">
        <v>1368</v>
      </c>
      <c r="N152">
        <v>1011</v>
      </c>
      <c r="O152" t="s">
        <v>236</v>
      </c>
      <c r="P152" t="s">
        <v>236</v>
      </c>
      <c r="Q152">
        <v>1</v>
      </c>
      <c r="X152">
        <v>0.39</v>
      </c>
      <c r="Y152">
        <v>0</v>
      </c>
      <c r="Z152">
        <v>110</v>
      </c>
      <c r="AA152">
        <v>11.6</v>
      </c>
      <c r="AB152">
        <v>0</v>
      </c>
      <c r="AC152">
        <v>0</v>
      </c>
      <c r="AD152">
        <v>1</v>
      </c>
      <c r="AE152">
        <v>0</v>
      </c>
      <c r="AG152">
        <v>0.39</v>
      </c>
      <c r="AH152">
        <v>2</v>
      </c>
      <c r="AI152">
        <v>27551753</v>
      </c>
      <c r="AJ152">
        <v>154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ROW(Source!A164)</f>
        <v>164</v>
      </c>
      <c r="B153">
        <v>27551754</v>
      </c>
      <c r="C153">
        <v>27551717</v>
      </c>
      <c r="D153">
        <v>24451546</v>
      </c>
      <c r="E153">
        <v>1</v>
      </c>
      <c r="F153">
        <v>1</v>
      </c>
      <c r="G153">
        <v>1</v>
      </c>
      <c r="H153">
        <v>2</v>
      </c>
      <c r="I153" t="s">
        <v>293</v>
      </c>
      <c r="J153" t="s">
        <v>294</v>
      </c>
      <c r="K153" t="s">
        <v>295</v>
      </c>
      <c r="L153">
        <v>1368</v>
      </c>
      <c r="N153">
        <v>1011</v>
      </c>
      <c r="O153" t="s">
        <v>236</v>
      </c>
      <c r="P153" t="s">
        <v>236</v>
      </c>
      <c r="Q153">
        <v>1</v>
      </c>
      <c r="X153">
        <v>3.19</v>
      </c>
      <c r="Y153">
        <v>0</v>
      </c>
      <c r="Z153">
        <v>195.2</v>
      </c>
      <c r="AA153">
        <v>14.4</v>
      </c>
      <c r="AB153">
        <v>0</v>
      </c>
      <c r="AC153">
        <v>0</v>
      </c>
      <c r="AD153">
        <v>1</v>
      </c>
      <c r="AE153">
        <v>0</v>
      </c>
      <c r="AG153">
        <v>3.19</v>
      </c>
      <c r="AH153">
        <v>2</v>
      </c>
      <c r="AI153">
        <v>27551754</v>
      </c>
      <c r="AJ153">
        <v>155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ROW(Source!A164)</f>
        <v>164</v>
      </c>
      <c r="B154">
        <v>27551755</v>
      </c>
      <c r="C154">
        <v>27551717</v>
      </c>
      <c r="D154">
        <v>24452575</v>
      </c>
      <c r="E154">
        <v>1</v>
      </c>
      <c r="F154">
        <v>1</v>
      </c>
      <c r="G154">
        <v>1</v>
      </c>
      <c r="H154">
        <v>2</v>
      </c>
      <c r="I154" t="s">
        <v>237</v>
      </c>
      <c r="J154" t="s">
        <v>238</v>
      </c>
      <c r="K154" t="s">
        <v>239</v>
      </c>
      <c r="L154">
        <v>1368</v>
      </c>
      <c r="N154">
        <v>1011</v>
      </c>
      <c r="O154" t="s">
        <v>236</v>
      </c>
      <c r="P154" t="s">
        <v>236</v>
      </c>
      <c r="Q154">
        <v>1</v>
      </c>
      <c r="X154">
        <v>0.04</v>
      </c>
      <c r="Y154">
        <v>0</v>
      </c>
      <c r="Z154">
        <v>87.17</v>
      </c>
      <c r="AA154">
        <v>11.6</v>
      </c>
      <c r="AB154">
        <v>0</v>
      </c>
      <c r="AC154">
        <v>0</v>
      </c>
      <c r="AD154">
        <v>1</v>
      </c>
      <c r="AE154">
        <v>0</v>
      </c>
      <c r="AG154">
        <v>0.04</v>
      </c>
      <c r="AH154">
        <v>2</v>
      </c>
      <c r="AI154">
        <v>27551755</v>
      </c>
      <c r="AJ154">
        <v>156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ROW(Source!A164)</f>
        <v>164</v>
      </c>
      <c r="B155">
        <v>27551756</v>
      </c>
      <c r="C155">
        <v>27551717</v>
      </c>
      <c r="D155">
        <v>24453737</v>
      </c>
      <c r="E155">
        <v>1</v>
      </c>
      <c r="F155">
        <v>1</v>
      </c>
      <c r="G155">
        <v>1</v>
      </c>
      <c r="H155">
        <v>3</v>
      </c>
      <c r="I155" t="s">
        <v>296</v>
      </c>
      <c r="J155" t="s">
        <v>297</v>
      </c>
      <c r="K155" t="s">
        <v>298</v>
      </c>
      <c r="L155">
        <v>1348</v>
      </c>
      <c r="N155">
        <v>1009</v>
      </c>
      <c r="O155" t="s">
        <v>87</v>
      </c>
      <c r="P155" t="s">
        <v>87</v>
      </c>
      <c r="Q155">
        <v>1000</v>
      </c>
      <c r="X155">
        <v>0.0062</v>
      </c>
      <c r="Y155">
        <v>5989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0.0062</v>
      </c>
      <c r="AH155">
        <v>2</v>
      </c>
      <c r="AI155">
        <v>27551756</v>
      </c>
      <c r="AJ155">
        <v>157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ROW(Source!A164)</f>
        <v>164</v>
      </c>
      <c r="B156">
        <v>27551757</v>
      </c>
      <c r="C156">
        <v>27551717</v>
      </c>
      <c r="D156">
        <v>24454303</v>
      </c>
      <c r="E156">
        <v>1</v>
      </c>
      <c r="F156">
        <v>1</v>
      </c>
      <c r="G156">
        <v>1</v>
      </c>
      <c r="H156">
        <v>3</v>
      </c>
      <c r="I156" t="s">
        <v>299</v>
      </c>
      <c r="J156" t="s">
        <v>300</v>
      </c>
      <c r="K156" t="s">
        <v>301</v>
      </c>
      <c r="L156">
        <v>1348</v>
      </c>
      <c r="N156">
        <v>1009</v>
      </c>
      <c r="O156" t="s">
        <v>87</v>
      </c>
      <c r="P156" t="s">
        <v>87</v>
      </c>
      <c r="Q156">
        <v>1000</v>
      </c>
      <c r="X156">
        <v>0.0108</v>
      </c>
      <c r="Y156">
        <v>1690.01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0.0108</v>
      </c>
      <c r="AH156">
        <v>2</v>
      </c>
      <c r="AI156">
        <v>27551757</v>
      </c>
      <c r="AJ156">
        <v>158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ROW(Source!A164)</f>
        <v>164</v>
      </c>
      <c r="B157">
        <v>27551758</v>
      </c>
      <c r="C157">
        <v>27551717</v>
      </c>
      <c r="D157">
        <v>24456400</v>
      </c>
      <c r="E157">
        <v>1</v>
      </c>
      <c r="F157">
        <v>1</v>
      </c>
      <c r="G157">
        <v>1</v>
      </c>
      <c r="H157">
        <v>3</v>
      </c>
      <c r="I157" t="s">
        <v>302</v>
      </c>
      <c r="J157" t="s">
        <v>303</v>
      </c>
      <c r="K157" t="s">
        <v>304</v>
      </c>
      <c r="L157">
        <v>1339</v>
      </c>
      <c r="N157">
        <v>1007</v>
      </c>
      <c r="O157" t="s">
        <v>99</v>
      </c>
      <c r="P157" t="s">
        <v>99</v>
      </c>
      <c r="Q157">
        <v>1</v>
      </c>
      <c r="X157">
        <v>0.15</v>
      </c>
      <c r="Y157">
        <v>1287.01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0.15</v>
      </c>
      <c r="AH157">
        <v>2</v>
      </c>
      <c r="AI157">
        <v>27551758</v>
      </c>
      <c r="AJ157">
        <v>159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ROW(Source!A164)</f>
        <v>164</v>
      </c>
      <c r="B158">
        <v>27551759</v>
      </c>
      <c r="C158">
        <v>27551717</v>
      </c>
      <c r="D158">
        <v>24472227</v>
      </c>
      <c r="E158">
        <v>1</v>
      </c>
      <c r="F158">
        <v>1</v>
      </c>
      <c r="G158">
        <v>1</v>
      </c>
      <c r="H158">
        <v>3</v>
      </c>
      <c r="I158" t="s">
        <v>308</v>
      </c>
      <c r="J158" t="s">
        <v>309</v>
      </c>
      <c r="K158" t="s">
        <v>310</v>
      </c>
      <c r="L158">
        <v>1348</v>
      </c>
      <c r="N158">
        <v>1009</v>
      </c>
      <c r="O158" t="s">
        <v>87</v>
      </c>
      <c r="P158" t="s">
        <v>87</v>
      </c>
      <c r="Q158">
        <v>1000</v>
      </c>
      <c r="X158">
        <v>93.3</v>
      </c>
      <c r="Y158">
        <v>571.6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93.3</v>
      </c>
      <c r="AH158">
        <v>2</v>
      </c>
      <c r="AI158">
        <v>27551759</v>
      </c>
      <c r="AJ158">
        <v>160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ROW(Source!A186)</f>
        <v>186</v>
      </c>
      <c r="B159">
        <v>27552783</v>
      </c>
      <c r="C159">
        <v>27552780</v>
      </c>
      <c r="D159">
        <v>24502559</v>
      </c>
      <c r="E159">
        <v>1</v>
      </c>
      <c r="F159">
        <v>1</v>
      </c>
      <c r="G159">
        <v>1</v>
      </c>
      <c r="H159">
        <v>1</v>
      </c>
      <c r="I159" t="s">
        <v>311</v>
      </c>
      <c r="K159" t="s">
        <v>312</v>
      </c>
      <c r="L159">
        <v>1369</v>
      </c>
      <c r="N159">
        <v>1013</v>
      </c>
      <c r="O159" t="s">
        <v>228</v>
      </c>
      <c r="P159" t="s">
        <v>228</v>
      </c>
      <c r="Q159">
        <v>1</v>
      </c>
      <c r="X159">
        <v>2.27</v>
      </c>
      <c r="Y159">
        <v>0</v>
      </c>
      <c r="Z159">
        <v>0</v>
      </c>
      <c r="AA159">
        <v>0</v>
      </c>
      <c r="AB159">
        <v>7.87</v>
      </c>
      <c r="AC159">
        <v>0</v>
      </c>
      <c r="AD159">
        <v>1</v>
      </c>
      <c r="AE159">
        <v>1</v>
      </c>
      <c r="AG159">
        <v>2.27</v>
      </c>
      <c r="AH159">
        <v>2</v>
      </c>
      <c r="AI159">
        <v>27552781</v>
      </c>
      <c r="AJ159">
        <v>161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ROW(Source!A186)</f>
        <v>186</v>
      </c>
      <c r="B160">
        <v>27552784</v>
      </c>
      <c r="C160">
        <v>27552780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28</v>
      </c>
      <c r="K160" t="s">
        <v>229</v>
      </c>
      <c r="L160">
        <v>608254</v>
      </c>
      <c r="N160">
        <v>1013</v>
      </c>
      <c r="O160" t="s">
        <v>230</v>
      </c>
      <c r="P160" t="s">
        <v>230</v>
      </c>
      <c r="Q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G160">
        <v>0</v>
      </c>
      <c r="AH160">
        <v>2</v>
      </c>
      <c r="AI160">
        <v>27552782</v>
      </c>
      <c r="AJ160">
        <v>162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ROW(Source!A187)</f>
        <v>187</v>
      </c>
      <c r="B161">
        <v>27552794</v>
      </c>
      <c r="C161">
        <v>27552785</v>
      </c>
      <c r="D161">
        <v>24505217</v>
      </c>
      <c r="E161">
        <v>1</v>
      </c>
      <c r="F161">
        <v>1</v>
      </c>
      <c r="G161">
        <v>1</v>
      </c>
      <c r="H161">
        <v>1</v>
      </c>
      <c r="I161" t="s">
        <v>313</v>
      </c>
      <c r="K161" t="s">
        <v>314</v>
      </c>
      <c r="L161">
        <v>1369</v>
      </c>
      <c r="N161">
        <v>1013</v>
      </c>
      <c r="O161" t="s">
        <v>228</v>
      </c>
      <c r="P161" t="s">
        <v>228</v>
      </c>
      <c r="Q161">
        <v>1</v>
      </c>
      <c r="X161">
        <v>547.56</v>
      </c>
      <c r="Y161">
        <v>0</v>
      </c>
      <c r="Z161">
        <v>0</v>
      </c>
      <c r="AA161">
        <v>0</v>
      </c>
      <c r="AB161">
        <v>8.97</v>
      </c>
      <c r="AC161">
        <v>0</v>
      </c>
      <c r="AD161">
        <v>1</v>
      </c>
      <c r="AE161">
        <v>1</v>
      </c>
      <c r="AG161">
        <v>547.56</v>
      </c>
      <c r="AH161">
        <v>2</v>
      </c>
      <c r="AI161">
        <v>27552786</v>
      </c>
      <c r="AJ161">
        <v>163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ROW(Source!A187)</f>
        <v>187</v>
      </c>
      <c r="B162">
        <v>27552795</v>
      </c>
      <c r="C162">
        <v>27552785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28</v>
      </c>
      <c r="K162" t="s">
        <v>229</v>
      </c>
      <c r="L162">
        <v>608254</v>
      </c>
      <c r="N162">
        <v>1013</v>
      </c>
      <c r="O162" t="s">
        <v>230</v>
      </c>
      <c r="P162" t="s">
        <v>230</v>
      </c>
      <c r="Q162">
        <v>1</v>
      </c>
      <c r="X162">
        <v>167.76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G162">
        <v>167.76</v>
      </c>
      <c r="AH162">
        <v>2</v>
      </c>
      <c r="AI162">
        <v>27552787</v>
      </c>
      <c r="AJ162">
        <v>164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ROW(Source!A187)</f>
        <v>187</v>
      </c>
      <c r="B163">
        <v>27552796</v>
      </c>
      <c r="C163">
        <v>27552785</v>
      </c>
      <c r="D163">
        <v>24450841</v>
      </c>
      <c r="E163">
        <v>1</v>
      </c>
      <c r="F163">
        <v>1</v>
      </c>
      <c r="G163">
        <v>1</v>
      </c>
      <c r="H163">
        <v>2</v>
      </c>
      <c r="I163" t="s">
        <v>315</v>
      </c>
      <c r="J163" t="s">
        <v>316</v>
      </c>
      <c r="K163" t="s">
        <v>317</v>
      </c>
      <c r="L163">
        <v>1368</v>
      </c>
      <c r="N163">
        <v>1011</v>
      </c>
      <c r="O163" t="s">
        <v>236</v>
      </c>
      <c r="P163" t="s">
        <v>236</v>
      </c>
      <c r="Q163">
        <v>1</v>
      </c>
      <c r="X163">
        <v>57.66</v>
      </c>
      <c r="Y163">
        <v>0</v>
      </c>
      <c r="Z163">
        <v>163.49</v>
      </c>
      <c r="AA163">
        <v>13.5</v>
      </c>
      <c r="AB163">
        <v>0</v>
      </c>
      <c r="AC163">
        <v>0</v>
      </c>
      <c r="AD163">
        <v>1</v>
      </c>
      <c r="AE163">
        <v>0</v>
      </c>
      <c r="AG163">
        <v>57.66</v>
      </c>
      <c r="AH163">
        <v>2</v>
      </c>
      <c r="AI163">
        <v>27552788</v>
      </c>
      <c r="AJ163">
        <v>165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ROW(Source!A187)</f>
        <v>187</v>
      </c>
      <c r="B164">
        <v>27552797</v>
      </c>
      <c r="C164">
        <v>27552785</v>
      </c>
      <c r="D164">
        <v>24450860</v>
      </c>
      <c r="E164">
        <v>1</v>
      </c>
      <c r="F164">
        <v>1</v>
      </c>
      <c r="G164">
        <v>1</v>
      </c>
      <c r="H164">
        <v>2</v>
      </c>
      <c r="I164" t="s">
        <v>318</v>
      </c>
      <c r="J164" t="s">
        <v>319</v>
      </c>
      <c r="K164" t="s">
        <v>320</v>
      </c>
      <c r="L164">
        <v>1368</v>
      </c>
      <c r="N164">
        <v>1011</v>
      </c>
      <c r="O164" t="s">
        <v>236</v>
      </c>
      <c r="P164" t="s">
        <v>236</v>
      </c>
      <c r="Q164">
        <v>1</v>
      </c>
      <c r="X164">
        <v>110.1</v>
      </c>
      <c r="Y164">
        <v>0</v>
      </c>
      <c r="Z164">
        <v>96.9</v>
      </c>
      <c r="AA164">
        <v>13.5</v>
      </c>
      <c r="AB164">
        <v>0</v>
      </c>
      <c r="AC164">
        <v>0</v>
      </c>
      <c r="AD164">
        <v>1</v>
      </c>
      <c r="AE164">
        <v>0</v>
      </c>
      <c r="AG164">
        <v>110.1</v>
      </c>
      <c r="AH164">
        <v>2</v>
      </c>
      <c r="AI164">
        <v>27552789</v>
      </c>
      <c r="AJ164">
        <v>166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ROW(Source!A187)</f>
        <v>187</v>
      </c>
      <c r="B165">
        <v>27552798</v>
      </c>
      <c r="C165">
        <v>27552785</v>
      </c>
      <c r="D165">
        <v>24452575</v>
      </c>
      <c r="E165">
        <v>1</v>
      </c>
      <c r="F165">
        <v>1</v>
      </c>
      <c r="G165">
        <v>1</v>
      </c>
      <c r="H165">
        <v>2</v>
      </c>
      <c r="I165" t="s">
        <v>237</v>
      </c>
      <c r="J165" t="s">
        <v>238</v>
      </c>
      <c r="K165" t="s">
        <v>239</v>
      </c>
      <c r="L165">
        <v>1368</v>
      </c>
      <c r="N165">
        <v>1011</v>
      </c>
      <c r="O165" t="s">
        <v>236</v>
      </c>
      <c r="P165" t="s">
        <v>236</v>
      </c>
      <c r="Q165">
        <v>1</v>
      </c>
      <c r="X165">
        <v>42.35</v>
      </c>
      <c r="Y165">
        <v>0</v>
      </c>
      <c r="Z165">
        <v>87.17</v>
      </c>
      <c r="AA165">
        <v>11.6</v>
      </c>
      <c r="AB165">
        <v>0</v>
      </c>
      <c r="AC165">
        <v>0</v>
      </c>
      <c r="AD165">
        <v>1</v>
      </c>
      <c r="AE165">
        <v>0</v>
      </c>
      <c r="AG165">
        <v>42.35</v>
      </c>
      <c r="AH165">
        <v>2</v>
      </c>
      <c r="AI165">
        <v>27552790</v>
      </c>
      <c r="AJ165">
        <v>167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ROW(Source!A187)</f>
        <v>187</v>
      </c>
      <c r="B166">
        <v>27552799</v>
      </c>
      <c r="C166">
        <v>27552785</v>
      </c>
      <c r="D166">
        <v>24453737</v>
      </c>
      <c r="E166">
        <v>1</v>
      </c>
      <c r="F166">
        <v>1</v>
      </c>
      <c r="G166">
        <v>1</v>
      </c>
      <c r="H166">
        <v>3</v>
      </c>
      <c r="I166" t="s">
        <v>296</v>
      </c>
      <c r="J166" t="s">
        <v>297</v>
      </c>
      <c r="K166" t="s">
        <v>298</v>
      </c>
      <c r="L166">
        <v>1348</v>
      </c>
      <c r="N166">
        <v>1009</v>
      </c>
      <c r="O166" t="s">
        <v>87</v>
      </c>
      <c r="P166" t="s">
        <v>87</v>
      </c>
      <c r="Q166">
        <v>1000</v>
      </c>
      <c r="X166">
        <v>0.07</v>
      </c>
      <c r="Y166">
        <v>5989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0.07</v>
      </c>
      <c r="AH166">
        <v>2</v>
      </c>
      <c r="AI166">
        <v>27552791</v>
      </c>
      <c r="AJ166">
        <v>168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ROW(Source!A187)</f>
        <v>187</v>
      </c>
      <c r="B167">
        <v>27552800</v>
      </c>
      <c r="C167">
        <v>27552785</v>
      </c>
      <c r="D167">
        <v>24468225</v>
      </c>
      <c r="E167">
        <v>1</v>
      </c>
      <c r="F167">
        <v>1</v>
      </c>
      <c r="G167">
        <v>1</v>
      </c>
      <c r="H167">
        <v>3</v>
      </c>
      <c r="I167" t="s">
        <v>249</v>
      </c>
      <c r="J167" t="s">
        <v>250</v>
      </c>
      <c r="K167" t="s">
        <v>251</v>
      </c>
      <c r="L167">
        <v>1339</v>
      </c>
      <c r="N167">
        <v>1007</v>
      </c>
      <c r="O167" t="s">
        <v>99</v>
      </c>
      <c r="P167" t="s">
        <v>99</v>
      </c>
      <c r="Q167">
        <v>1</v>
      </c>
      <c r="X167">
        <v>1.8</v>
      </c>
      <c r="Y167">
        <v>519.8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1.8</v>
      </c>
      <c r="AH167">
        <v>2</v>
      </c>
      <c r="AI167">
        <v>27552792</v>
      </c>
      <c r="AJ167">
        <v>169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ROW(Source!A187)</f>
        <v>187</v>
      </c>
      <c r="B168">
        <v>27552801</v>
      </c>
      <c r="C168">
        <v>27552785</v>
      </c>
      <c r="D168">
        <v>24471522</v>
      </c>
      <c r="E168">
        <v>1</v>
      </c>
      <c r="F168">
        <v>1</v>
      </c>
      <c r="G168">
        <v>1</v>
      </c>
      <c r="H168">
        <v>3</v>
      </c>
      <c r="I168" t="s">
        <v>321</v>
      </c>
      <c r="J168" t="s">
        <v>322</v>
      </c>
      <c r="K168" t="s">
        <v>323</v>
      </c>
      <c r="L168">
        <v>1339</v>
      </c>
      <c r="N168">
        <v>1007</v>
      </c>
      <c r="O168" t="s">
        <v>99</v>
      </c>
      <c r="P168" t="s">
        <v>99</v>
      </c>
      <c r="Q168">
        <v>1</v>
      </c>
      <c r="X168">
        <v>100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G168">
        <v>100</v>
      </c>
      <c r="AH168">
        <v>2</v>
      </c>
      <c r="AI168">
        <v>27552793</v>
      </c>
      <c r="AJ168">
        <v>171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ROW(Source!A189)</f>
        <v>189</v>
      </c>
      <c r="B169">
        <v>27552809</v>
      </c>
      <c r="C169">
        <v>27552804</v>
      </c>
      <c r="D169">
        <v>24504707</v>
      </c>
      <c r="E169">
        <v>1</v>
      </c>
      <c r="F169">
        <v>1</v>
      </c>
      <c r="G169">
        <v>1</v>
      </c>
      <c r="H169">
        <v>1</v>
      </c>
      <c r="I169" t="s">
        <v>324</v>
      </c>
      <c r="K169" t="s">
        <v>325</v>
      </c>
      <c r="L169">
        <v>1369</v>
      </c>
      <c r="N169">
        <v>1013</v>
      </c>
      <c r="O169" t="s">
        <v>228</v>
      </c>
      <c r="P169" t="s">
        <v>228</v>
      </c>
      <c r="Q169">
        <v>1</v>
      </c>
      <c r="X169">
        <v>1.31</v>
      </c>
      <c r="Y169">
        <v>0</v>
      </c>
      <c r="Z169">
        <v>0</v>
      </c>
      <c r="AA169">
        <v>0</v>
      </c>
      <c r="AB169">
        <v>8.64</v>
      </c>
      <c r="AC169">
        <v>0</v>
      </c>
      <c r="AD169">
        <v>1</v>
      </c>
      <c r="AE169">
        <v>1</v>
      </c>
      <c r="AG169">
        <v>1.31</v>
      </c>
      <c r="AH169">
        <v>2</v>
      </c>
      <c r="AI169">
        <v>27552805</v>
      </c>
      <c r="AJ169">
        <v>172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ROW(Source!A189)</f>
        <v>189</v>
      </c>
      <c r="B170">
        <v>27552810</v>
      </c>
      <c r="C170">
        <v>27552804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28</v>
      </c>
      <c r="K170" t="s">
        <v>229</v>
      </c>
      <c r="L170">
        <v>608254</v>
      </c>
      <c r="N170">
        <v>1013</v>
      </c>
      <c r="O170" t="s">
        <v>230</v>
      </c>
      <c r="P170" t="s">
        <v>230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2</v>
      </c>
      <c r="AG170">
        <v>0</v>
      </c>
      <c r="AH170">
        <v>2</v>
      </c>
      <c r="AI170">
        <v>27552806</v>
      </c>
      <c r="AJ170">
        <v>173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ROW(Source!A189)</f>
        <v>189</v>
      </c>
      <c r="B171">
        <v>27552811</v>
      </c>
      <c r="C171">
        <v>27552804</v>
      </c>
      <c r="D171">
        <v>24452575</v>
      </c>
      <c r="E171">
        <v>1</v>
      </c>
      <c r="F171">
        <v>1</v>
      </c>
      <c r="G171">
        <v>1</v>
      </c>
      <c r="H171">
        <v>2</v>
      </c>
      <c r="I171" t="s">
        <v>237</v>
      </c>
      <c r="J171" t="s">
        <v>238</v>
      </c>
      <c r="K171" t="s">
        <v>239</v>
      </c>
      <c r="L171">
        <v>1368</v>
      </c>
      <c r="N171">
        <v>1011</v>
      </c>
      <c r="O171" t="s">
        <v>236</v>
      </c>
      <c r="P171" t="s">
        <v>236</v>
      </c>
      <c r="Q171">
        <v>1</v>
      </c>
      <c r="X171">
        <v>0.07</v>
      </c>
      <c r="Y171">
        <v>0</v>
      </c>
      <c r="Z171">
        <v>87.17</v>
      </c>
      <c r="AA171">
        <v>11.6</v>
      </c>
      <c r="AB171">
        <v>0</v>
      </c>
      <c r="AC171">
        <v>0</v>
      </c>
      <c r="AD171">
        <v>1</v>
      </c>
      <c r="AE171">
        <v>0</v>
      </c>
      <c r="AG171">
        <v>0.07</v>
      </c>
      <c r="AH171">
        <v>2</v>
      </c>
      <c r="AI171">
        <v>27552807</v>
      </c>
      <c r="AJ171">
        <v>174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ROW(Source!A189)</f>
        <v>189</v>
      </c>
      <c r="B172">
        <v>27552812</v>
      </c>
      <c r="C172">
        <v>27552804</v>
      </c>
      <c r="D172">
        <v>24455153</v>
      </c>
      <c r="E172">
        <v>1</v>
      </c>
      <c r="F172">
        <v>1</v>
      </c>
      <c r="G172">
        <v>1</v>
      </c>
      <c r="H172">
        <v>3</v>
      </c>
      <c r="I172" t="s">
        <v>172</v>
      </c>
      <c r="J172" t="s">
        <v>174</v>
      </c>
      <c r="K172" t="s">
        <v>173</v>
      </c>
      <c r="L172">
        <v>1354</v>
      </c>
      <c r="N172">
        <v>1010</v>
      </c>
      <c r="O172" t="s">
        <v>36</v>
      </c>
      <c r="P172" t="s">
        <v>36</v>
      </c>
      <c r="Q172">
        <v>1</v>
      </c>
      <c r="X172">
        <v>1</v>
      </c>
      <c r="Y172">
        <v>569.53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1</v>
      </c>
      <c r="AH172">
        <v>2</v>
      </c>
      <c r="AI172">
        <v>27552815</v>
      </c>
      <c r="AJ172">
        <v>175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ROW(Source!A189)</f>
        <v>189</v>
      </c>
      <c r="B173">
        <v>27552813</v>
      </c>
      <c r="C173">
        <v>27552804</v>
      </c>
      <c r="D173">
        <v>24467775</v>
      </c>
      <c r="E173">
        <v>1</v>
      </c>
      <c r="F173">
        <v>1</v>
      </c>
      <c r="G173">
        <v>1</v>
      </c>
      <c r="H173">
        <v>3</v>
      </c>
      <c r="I173" t="s">
        <v>326</v>
      </c>
      <c r="J173" t="s">
        <v>327</v>
      </c>
      <c r="K173" t="s">
        <v>328</v>
      </c>
      <c r="L173">
        <v>1339</v>
      </c>
      <c r="N173">
        <v>1007</v>
      </c>
      <c r="O173" t="s">
        <v>99</v>
      </c>
      <c r="P173" t="s">
        <v>99</v>
      </c>
      <c r="Q173">
        <v>1</v>
      </c>
      <c r="X173">
        <v>0.0008</v>
      </c>
      <c r="Y173">
        <v>665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0.0008</v>
      </c>
      <c r="AH173">
        <v>2</v>
      </c>
      <c r="AI173">
        <v>27552808</v>
      </c>
      <c r="AJ173">
        <v>176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2012-09-04T10:27:38Z</cp:lastPrinted>
  <dcterms:modified xsi:type="dcterms:W3CDTF">2012-09-04T10:27:40Z</dcterms:modified>
  <cp:category/>
  <cp:version/>
  <cp:contentType/>
  <cp:contentStatus/>
</cp:coreProperties>
</file>