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140" activeTab="2"/>
  </bookViews>
  <sheets>
    <sheet name="Дефектная ведомость" sheetId="1" r:id="rId1"/>
    <sheet name="Акт КС-2 для ТЕР МО (индекс " sheetId="2" r:id="rId2"/>
    <sheet name="Локальная смета 12 гр. Для Т" sheetId="3" r:id="rId3"/>
    <sheet name="Source" sheetId="4" r:id="rId4"/>
    <sheet name="SmtRes" sheetId="5" r:id="rId5"/>
    <sheet name="EtalonRes" sheetId="6" r:id="rId6"/>
    <sheet name="ClcRes" sheetId="7" r:id="rId7"/>
  </sheets>
  <definedNames>
    <definedName name="_xlnm.Print_Titles" localSheetId="1">'Акт КС-2 для ТЕР МО (индекс '!$30:$30</definedName>
    <definedName name="_xlnm.Print_Titles" localSheetId="0">'Дефектная ведомость'!$19:$19</definedName>
    <definedName name="_xlnm.Print_Titles" localSheetId="2">'Локальная смета 12 гр. Для Т'!$35:$35</definedName>
    <definedName name="_xlnm.Print_Area" localSheetId="1">'Акт КС-2 для ТЕР МО (индекс '!$A$1:$L$117</definedName>
    <definedName name="_xlnm.Print_Area" localSheetId="2">'Локальная смета 12 гр. Для Т'!$A$1:$L$121</definedName>
  </definedNames>
  <calcPr fullCalcOnLoad="1"/>
</workbook>
</file>

<file path=xl/sharedStrings.xml><?xml version="1.0" encoding="utf-8"?>
<sst xmlns="http://schemas.openxmlformats.org/spreadsheetml/2006/main" count="1630" uniqueCount="367">
  <si>
    <t>Smeta.ru  (495) 974-1589</t>
  </si>
  <si>
    <t>_PS_</t>
  </si>
  <si>
    <t>Smeta.ru</t>
  </si>
  <si>
    <t/>
  </si>
  <si>
    <t>Новый объект</t>
  </si>
  <si>
    <t>Б130 1 Мая дом24 и Трудовые резервы дом 10</t>
  </si>
  <si>
    <t>ТСНБ-2001 Московская область</t>
  </si>
  <si>
    <t>Сметные нормы списания</t>
  </si>
  <si>
    <t>Коды ценников</t>
  </si>
  <si>
    <t>ТСНБ+ФЕР 2012</t>
  </si>
  <si>
    <t>Версия 7.0.0.14 от 18.06.2012: для ФЕР, с п.3757-КК/08, п.6056-ИП/08,п.10753-ВТ/08 и п.15127-ИП/08 (Стр-во и рек-ия жилых / общ. зд.): Центральные регионы: Текущие цены</t>
  </si>
  <si>
    <t>ТСНБ-2001 Московской области</t>
  </si>
  <si>
    <t>Поправки  для НБ 2001 года  в ред. 2009 года от 29.03.2011</t>
  </si>
  <si>
    <t>Новая локальная смета</t>
  </si>
  <si>
    <t>{8583F0C0-2105-4E84-B9D2-54491712D524}</t>
  </si>
  <si>
    <t>1</t>
  </si>
  <si>
    <t>68-15-3</t>
  </si>
  <si>
    <t>Ремонт асфальтобетонного покрытия дорог однослойного толщиной: 70 мм площадью ремонта до 5 м2</t>
  </si>
  <si>
    <t>100 м2</t>
  </si>
  <si>
    <t>ТСНБ-2001 Московская обл 68-15-3, распоряжение №52 от 06.09.2011г.</t>
  </si>
  <si>
    <t>Ремонтно-строительные работы</t>
  </si>
  <si>
    <t>Благоустройство</t>
  </si>
  <si>
    <t>ФЕРр-68</t>
  </si>
  <si>
    <t>((*0.85))</t>
  </si>
  <si>
    <t>((*0.8))</t>
  </si>
  <si>
    <t>2</t>
  </si>
  <si>
    <t>01-01-036-1</t>
  </si>
  <si>
    <t>Планировка площадей бульдозерами мощностью 59 кВт (80л.с.)</t>
  </si>
  <si>
    <t>1000 м2</t>
  </si>
  <si>
    <t>ТСНБ-2001 Московская обл 01-01-036-1, распоряжение №52 от 06.09.2011г.</t>
  </si>
  <si>
    <t>1000 м2 спланированной поверхности за 1 проход бульдозера</t>
  </si>
  <si>
    <t>Общестроительные работы</t>
  </si>
  <si>
    <t>Земляные работы, выполняемые  механизированным способом</t>
  </si>
  <si>
    <t>ФЕР-01</t>
  </si>
  <si>
    <t>3</t>
  </si>
  <si>
    <t>27-04-001-1</t>
  </si>
  <si>
    <t>Устройство подстилающих и выравнивающих слоев оснований из песка</t>
  </si>
  <si>
    <t>100 м3</t>
  </si>
  <si>
    <t>ТСНБ-2001 Московская обл 27-04-001-1, распоряжение №52 от 06.09.2011г.</t>
  </si>
  <si>
    <t>100 м3 материала основания (в плотном теле)</t>
  </si>
  <si>
    <t>Автомобильные дороги</t>
  </si>
  <si>
    <t>ФЕР-27</t>
  </si>
  <si>
    <t>3,1</t>
  </si>
  <si>
    <t>408-0122</t>
  </si>
  <si>
    <t>Песок природный для строительных работ средний</t>
  </si>
  <si>
    <t>м3</t>
  </si>
  <si>
    <t>ТСНБ-2001 Московская обл распоряжение № 51от 06.09.2011г. 408-0122</t>
  </si>
  <si>
    <t>4</t>
  </si>
  <si>
    <t>27-04-001-4</t>
  </si>
  <si>
    <t>Устройство подстилающих и выравнивающих слоев оснований из щебня</t>
  </si>
  <si>
    <t>ТСНБ-2001 Московская обл 27-04-001-4, распоряжение №52 от 06.09.2011г.</t>
  </si>
  <si>
    <t>4,1</t>
  </si>
  <si>
    <t>408-0392</t>
  </si>
  <si>
    <t>Щебень известняковый для строительных работ марки 600 фракции 10-40 мм</t>
  </si>
  <si>
    <t>ТСНБ-2001 Московская обл распоряжение № 51от 06.09.2011г. 408-0392</t>
  </si>
  <si>
    <t>5</t>
  </si>
  <si>
    <t>27-06-020-1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</si>
  <si>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</si>
  <si>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ТСНБ-2001 Московская обл 27-06-020-1, распоряжение №52 от 06.09.2011г.</t>
  </si>
  <si>
    <t>1000 м2 покрытия</t>
  </si>
  <si>
    <t>6</t>
  </si>
  <si>
    <t>27-06-021-1</t>
  </si>
  <si>
    <t>На каждые 0,5 см изменения толщины покрытия добавлять или исключать к расценке 27-06-020-01</t>
  </si>
  <si>
    <t>ТСНБ-2001 Московская обл 27-06-021-1, распоряжение №52 от 06.09.2011г.</t>
  </si>
  <si>
    <t>*2</t>
  </si>
  <si>
    <t>7</t>
  </si>
  <si>
    <t>27-09-008-1</t>
  </si>
  <si>
    <t>Установка дорожных знаков бесфундаментных на металлических стойках</t>
  </si>
  <si>
    <t>100 шт.</t>
  </si>
  <si>
    <t>ТСНБ-2001 Московская обл 27-09-008-1, распоряжение №52 от 06.09.2011г.</t>
  </si>
  <si>
    <t>100 знаков</t>
  </si>
  <si>
    <t>8</t>
  </si>
  <si>
    <t>110-0243</t>
  </si>
  <si>
    <t>Стойки металлические под дорожные знаки из круглых труб и гнутосварных профилей, массой до 0,01 т</t>
  </si>
  <si>
    <t>т</t>
  </si>
  <si>
    <t>ТСНБ-2001 Московская обл 110-0243</t>
  </si>
  <si>
    <t>Материалы</t>
  </si>
  <si>
    <t>Материалы и конструкции ( строительные )</t>
  </si>
  <si>
    <t>ФССЦ</t>
  </si>
  <si>
    <t>9</t>
  </si>
  <si>
    <t>101-4309</t>
  </si>
  <si>
    <t>Знаки дорожные на оцинкованной подоснове со световозвращающей пленкой дополнительной информации, размером 350х700 мм, тип 8.1.1, 8.1.3-8.12, 8.14-8.21.3</t>
  </si>
  <si>
    <t>шт.</t>
  </si>
  <si>
    <t>ФССЦ (2010) ч.1, раздел01, поз.4309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</si>
  <si>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</si>
  <si>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</si>
  <si>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</si>
  <si>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</si>
  <si>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</si>
  <si>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</si>
  <si>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</si>
  <si>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</si>
  <si>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</si>
  <si>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</si>
  <si>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</si>
  <si>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</si>
  <si>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</si>
  <si>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</si>
  <si>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</si>
  <si>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</si>
  <si>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</si>
  <si>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</si>
  <si>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</si>
  <si>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</si>
  <si>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</si>
  <si>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</si>
  <si>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</si>
  <si>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</si>
  <si>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</si>
  <si>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</si>
  <si>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</si>
  <si>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</t>
  </si>
  <si>
    <t>Итог2</t>
  </si>
  <si>
    <t>НДС 18%</t>
  </si>
  <si>
    <t>ВСЕГО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</si>
  <si>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</si>
  <si>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</si>
  <si>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</si>
  <si>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</si>
  <si>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</si>
  <si>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</si>
  <si>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</si>
  <si>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</si>
  <si>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</si>
  <si>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</si>
  <si>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</si>
  <si>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</si>
  <si>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</si>
  <si>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</si>
  <si>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</si>
  <si>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</si>
  <si>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</si>
  <si>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</si>
  <si>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</si>
  <si>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</si>
  <si>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</si>
  <si>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</si>
  <si>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</si>
  <si>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</si>
  <si>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</si>
  <si>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</si>
  <si>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</si>
  <si>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</si>
  <si>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</si>
  <si>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</si>
  <si>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</si>
  <si>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</si>
  <si>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</si>
  <si>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</si>
  <si>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</si>
  <si>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</si>
  <si>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</si>
  <si>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</si>
  <si>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</si>
  <si>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</si>
  <si>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</si>
  <si>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</si>
  <si>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</si>
  <si>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</si>
  <si>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</si>
  <si>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1-1027-90</t>
  </si>
  <si>
    <t>Рабочий строитель среднего разряда 2,7</t>
  </si>
  <si>
    <t>чел.-ч</t>
  </si>
  <si>
    <t>Затраты труда машинистов</t>
  </si>
  <si>
    <t>чел.час</t>
  </si>
  <si>
    <t>050101</t>
  </si>
  <si>
    <t>ТСНБ-2001 Московская обл распоряжение № 51от 06.09.2011г. 050101</t>
  </si>
  <si>
    <t>Компрессоры передвижные с двигателем внутреннего сгорания давлением до 686 кПа (7 ат), производительность 2,2 м3/мин</t>
  </si>
  <si>
    <t>маш.-ч</t>
  </si>
  <si>
    <t>120906</t>
  </si>
  <si>
    <t>ТСНБ-2001 Московская обл распоряжение № 51от 06.09.2011г. 120906</t>
  </si>
  <si>
    <t>Катки дорожные самоходные гладкие 8 т</t>
  </si>
  <si>
    <t>121011</t>
  </si>
  <si>
    <t>ТСНБ-2001 Московская обл распоряжение № 51от 06.09.2011г. 121011</t>
  </si>
  <si>
    <t>Котлы битумные передвижные 400 л</t>
  </si>
  <si>
    <t>330804</t>
  </si>
  <si>
    <t>ТСНБ-2001 Московская обл распоряжение № 51от 06.09.2011г. 330804</t>
  </si>
  <si>
    <t>Молотки при работе от передвижных компрессорных станций отбойные пневматические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</si>
  <si>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</si>
  <si>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</si>
  <si>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</si>
  <si>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101-1556</t>
  </si>
  <si>
    <t>ТСНБ-2001 Московская обл 101-1556</t>
  </si>
  <si>
    <t>Битумы нефтяные дорожные марки БНД-60/90, БНД 90/130, сорт I</t>
  </si>
  <si>
    <t>410-0021</t>
  </si>
  <si>
    <t>ТСНБ-2001 Московская обл распоряжение № 51от 06.09.2011г. 410-0021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</si>
  <si>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</t>
  </si>
  <si>
    <t>509-9900</t>
  </si>
  <si>
    <t>ТСНБ-2001 Московская обл распоряжение №51 от 06.09.2011г. 509-9900</t>
  </si>
  <si>
    <t>Строительный мусор</t>
  </si>
  <si>
    <t>070148</t>
  </si>
  <si>
    <t>ТСНБ-2001 Московская обл распоряжение № 51от 06.09.2011г. 070148</t>
  </si>
  <si>
    <t>Бульдозеры при работе на других видах строительства 59 кВт (80 л.с.)</t>
  </si>
  <si>
    <t>1-1023-90</t>
  </si>
  <si>
    <t>Рабочий строитель среднего разряда 2,3</t>
  </si>
  <si>
    <t>030101</t>
  </si>
  <si>
    <t>ТСНБ-2001 Московская обл распоряжение № 51от 06.09.2011г. 030101</t>
  </si>
  <si>
    <t>Автопогрузчики 5 т</t>
  </si>
  <si>
    <t>120202</t>
  </si>
  <si>
    <t>ТСНБ-2001 Московская обл распоряжение № 51от 06.09.2011г. 120202</t>
  </si>
  <si>
    <t>Автогрейдеры среднего типа 99 кВт (135 л.с.)</t>
  </si>
  <si>
    <t>120911</t>
  </si>
  <si>
    <t>ТСНБ-2001 Московская обл распоряжение № 51от 06.09.2011г. 120911</t>
  </si>
  <si>
    <t>Катки на пневмоколесном ходу 30 т</t>
  </si>
  <si>
    <t>121601</t>
  </si>
  <si>
    <t>ТСНБ-2001 Московская обл распоряжение № 51от 06.09.2011г. 121601</t>
  </si>
  <si>
    <t>Машины поливомоечные 6000 л</t>
  </si>
  <si>
    <t>411-0001</t>
  </si>
  <si>
    <t>ТСНБ-2001 Московская обл распоряжение № 51от 06.09.2011г. 411-0001</t>
  </si>
  <si>
    <t>Вода</t>
  </si>
  <si>
    <t>1-1024-90</t>
  </si>
  <si>
    <t>Рабочий строитель среднего разряда 2,4</t>
  </si>
  <si>
    <t>070149</t>
  </si>
  <si>
    <t>ТСНБ-2001 Московская обл распоряжение № 51от 06.09.2011г. 070149</t>
  </si>
  <si>
    <t>Бульдозеры при работе на других видах строительства 79 кВт (108 л.с.)</t>
  </si>
  <si>
    <t>1-1040-90</t>
  </si>
  <si>
    <t>Рабочий строитель среднего разряда 4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</si>
  <si>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</si>
  <si>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</si>
  <si>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</si>
  <si>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120500</t>
  </si>
  <si>
    <t>ТСНБ-2001 Московская обл распоряжение № 51от 06.09.2011г. 120500</t>
  </si>
  <si>
    <t>Гудронаторы ручные</t>
  </si>
  <si>
    <t>120907</t>
  </si>
  <si>
    <t>ТСНБ-2001 Московская обл распоряжение № 51от 06.09.2011г. 120907</t>
  </si>
  <si>
    <t>Катки дорожные самоходные гладкие 13 т</t>
  </si>
  <si>
    <t>122000</t>
  </si>
  <si>
    <t>ТСНБ-2001 Московская обл распоряжение № 51от 06.09.2011г. 122000</t>
  </si>
  <si>
    <t>Укладчики асфальтобетона</t>
  </si>
  <si>
    <t>101-0782</t>
  </si>
  <si>
    <t>ТСНБ-2001 Московская обл 101-0782</t>
  </si>
  <si>
    <t>Поковки из квадратных заготовок, масса 1,8 кг</t>
  </si>
  <si>
    <t>102-0025</t>
  </si>
  <si>
    <t>ТСНБ-2001 Московская обл 102-0025</t>
  </si>
  <si>
    <t>Бруски обрезные хвойных пород длиной 4-6,5 м, шириной 75-150 мм, толщиной 40-75 мм, III сорта</t>
  </si>
  <si>
    <t>410-0001</t>
  </si>
  <si>
    <t>ТСНБ-2001 Московская обл распоряжение № 51от 06.09.2011г. 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</si>
  <si>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</si>
  <si>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1-1030-90</t>
  </si>
  <si>
    <t>Рабочий строитель среднего разряда 3</t>
  </si>
  <si>
    <t>160501</t>
  </si>
  <si>
    <t>ТСНБ-2001 Московская обл распоряжение № 51от 06.09.2011г. 160501</t>
  </si>
  <si>
    <t>Машины бурильные на тракторе 85 кВт (115 л.с.), глубина бурения 3,5 м</t>
  </si>
  <si>
    <t>101-0090</t>
  </si>
  <si>
    <t>ТСНБ-2001 Московская обл 101-0090</t>
  </si>
  <si>
    <t>Болты с шестигранной головкой диаметром резьбы 10 мм</t>
  </si>
  <si>
    <t>101-0223</t>
  </si>
  <si>
    <t>ТСНБ-2001 Московская обл 101-0223</t>
  </si>
  <si>
    <t>Грунтовка В-КФ-093 красно-коричневая, серая, черная</t>
  </si>
  <si>
    <t>101-0485</t>
  </si>
  <si>
    <t>ТСНБ-2001 Московская обл 101-0485</t>
  </si>
  <si>
    <t>Краска ХВ-161 перхлорвиниловая фасадная марок А, Б</t>
  </si>
  <si>
    <t>101-0837</t>
  </si>
  <si>
    <t>ТСНБ-2001 Московская обл 101-0837</t>
  </si>
  <si>
    <t>Растворитель марки Р-4А</t>
  </si>
  <si>
    <t>101-9610</t>
  </si>
  <si>
    <t>ТСНБ-2001 Московская обл 101-9610</t>
  </si>
  <si>
    <t>Щитки металлические</t>
  </si>
  <si>
    <t>110-9181</t>
  </si>
  <si>
    <t>ТСНБ-2001 Московская обл 110-9181</t>
  </si>
  <si>
    <t>Стойки металлические</t>
  </si>
  <si>
    <t>408-9040</t>
  </si>
  <si>
    <t>ТСНБ-2001 Московская обл распоряжение № 51от 06.09.2011г. 408-9040</t>
  </si>
  <si>
    <t>Песок для строительных работ природный</t>
  </si>
  <si>
    <t>408-9080</t>
  </si>
  <si>
    <t>ТСНБ-2001 Московская обл распоряжение № 51от 06.09.2011г. 408-9080</t>
  </si>
  <si>
    <t>Щебень</t>
  </si>
  <si>
    <t>"СОГЛАСОВАНО"</t>
  </si>
  <si>
    <t>"УТВЕРЖДАЮ"</t>
  </si>
  <si>
    <t>"_____"________________200___ г.</t>
  </si>
  <si>
    <t>(Наименование стройки)</t>
  </si>
  <si>
    <t xml:space="preserve">ЛОКАЛЬНАЯ СМЕТА №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</si>
  <si>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</si>
  <si>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</si>
  <si>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</si>
  <si>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</si>
  <si>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</si>
  <si>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</si>
  <si>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>Нормативная трудоемкость</t>
  </si>
  <si>
    <t>Средства на оплату труда</t>
  </si>
  <si>
    <t>Составлен(а) в ценах Июль 2012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</si>
  <si>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</si>
  <si>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</si>
  <si>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</si>
  <si>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</si>
  <si>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</si>
  <si>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</si>
  <si>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</si>
  <si>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</si>
  <si>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</si>
  <si>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</si>
  <si>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</si>
  <si>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</si>
  <si>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</si>
  <si>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</si>
  <si>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</si>
  <si>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</si>
  <si>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</si>
  <si>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</si>
  <si>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</si>
  <si>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</si>
  <si>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</si>
  <si>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</si>
  <si>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</si>
  <si>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</si>
  <si>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</si>
  <si>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</si>
  <si>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</si>
  <si>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</si>
  <si>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</si>
  <si>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</si>
  <si>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</si>
  <si>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</si>
  <si>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</si>
  <si>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</si>
  <si>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</si>
  <si>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Локальная смета  </t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</si>
  <si>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</si>
  <si>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</si>
  <si>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</si>
  <si>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</si>
  <si>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</si>
  <si>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</si>
  <si>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</si>
  <si>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</si>
  <si>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</si>
  <si>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</si>
  <si>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</si>
  <si>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</si>
  <si>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</si>
  <si>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</si>
  <si>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</si>
  <si>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</si>
  <si>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</si>
  <si>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</si>
  <si>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 xml:space="preserve">Инвестор </t>
  </si>
  <si>
    <t>по ОКПО</t>
  </si>
  <si>
    <t xml:space="preserve">Заказчик </t>
  </si>
  <si>
    <t xml:space="preserve">Подрядчик </t>
  </si>
  <si>
    <t xml:space="preserve">Стройка </t>
  </si>
  <si>
    <t xml:space="preserve">Объект </t>
  </si>
  <si>
    <t>Вид деятельности по ОКДП</t>
  </si>
  <si>
    <t>Договор подряда (контракт)</t>
  </si>
  <si>
    <t>номер</t>
  </si>
  <si>
    <t>дата</t>
  </si>
  <si>
    <t>Номер документа</t>
  </si>
  <si>
    <t>Дата составления</t>
  </si>
  <si>
    <t>Отчетный период</t>
  </si>
  <si>
    <t>с</t>
  </si>
  <si>
    <t>по</t>
  </si>
  <si>
    <t>AKT ВЫПОЛНЕННЫХ РАБОТ</t>
  </si>
  <si>
    <t xml:space="preserve">Составлен(а) в ценах 2001 г. с учетом коэффициентов пересчета к базисной стоимости СМР в текущий уровень цен базисно-индексным методом </t>
  </si>
  <si>
    <t>г.</t>
  </si>
  <si>
    <t>ПОДРЯДЧИК</t>
  </si>
  <si>
    <t>ЗАКАЗЧИК</t>
  </si>
  <si>
    <t>______________________________</t>
  </si>
  <si>
    <t>" ___ " ___________ 20 ___ г.</t>
  </si>
  <si>
    <t>Дефектный акт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</si>
  <si>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</si>
  <si>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</si>
  <si>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</si>
  <si>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измерен.</t>
  </si>
  <si>
    <t>Коли-</t>
  </si>
  <si>
    <t>чество</t>
  </si>
  <si>
    <t>Подписи членов комиссии:</t>
  </si>
  <si>
    <t>Устройство парковки и ремонт внутриквартальной автомобильной дороги у дома №24 по улице 1 Мая и дома №10 по улице Трудовые резервы с установкой знака</t>
  </si>
  <si>
    <t>Пункт 1.1 проекта Решения Совета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</si>
</sst>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b/>
      <u val="single"/>
      <sz val="14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2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5" fillId="0" borderId="15" xfId="0" applyFont="1" applyBorder="1" applyAlignment="1">
      <alignment wrapText="1"/>
    </xf>
    <xf numFmtId="0" fontId="0" fillId="0" borderId="0" xfId="0" applyAlignment="1">
      <alignment horizontal="center" vertical="top" shrinkToFi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 shrinkToFi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172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90.7109375" style="0" customWidth="1"/>
    <col min="3" max="4" width="18.7109375" style="0" customWidth="1"/>
    <col min="27" max="27" width="131.7109375" style="0" hidden="1" customWidth="1"/>
    <col min="28" max="28" width="0" style="0" hidden="1" customWidth="1"/>
  </cols>
  <sheetData>
    <row r="1" spans="1:4" ht="12.75">
      <c r="A1" s="76" t="str">
        <f>Source!B1</f>
        <v>Smeta.ru  (495) 974-1589</v>
      </c>
      <c r="B1" s="77"/>
      <c r="C1" s="77"/>
      <c r="D1" s="77"/>
    </row>
    <row r="3" spans="3:4" ht="18.75">
      <c r="C3" s="57" t="s">
        <v>268</v>
      </c>
      <c r="D3" s="57"/>
    </row>
    <row r="4" spans="3:4" ht="18.75">
      <c r="C4" s="57"/>
      <c r="D4" s="57" t="s">
        <v>355</v>
      </c>
    </row>
    <row r="5" spans="3:4" ht="18.75">
      <c r="C5" s="57"/>
      <c r="D5" s="57" t="s">
        <v>355</v>
      </c>
    </row>
    <row r="6" ht="15.75">
      <c r="C6" s="58" t="s">
        <v>356</v>
      </c>
    </row>
    <row r="10" ht="20.25">
      <c r="B10" s="59" t="s">
        <v>357</v>
      </c>
    </row>
    <row r="11" ht="56.25">
      <c r="B11" s="60" t="s">
        <v>365</v>
      </c>
    </row>
    <row r="14" ht="15.75">
      <c r="B14" s="61" t="s">
        <v>358</v>
      </c>
    </row>
    <row r="15" ht="15.75">
      <c r="B15" s="61" t="s">
        <v>359</v>
      </c>
    </row>
    <row r="16" ht="15.75">
      <c r="B16" s="61" t="s">
        <v>360</v>
      </c>
    </row>
    <row r="17" spans="1:4" ht="15">
      <c r="A17" s="18" t="s">
        <v>281</v>
      </c>
      <c r="B17" s="18" t="s">
        <v>287</v>
      </c>
      <c r="C17" s="18" t="s">
        <v>288</v>
      </c>
      <c r="D17" s="19" t="s">
        <v>362</v>
      </c>
    </row>
    <row r="18" spans="1:4" ht="15">
      <c r="A18" s="20" t="s">
        <v>282</v>
      </c>
      <c r="B18" s="20"/>
      <c r="C18" s="20" t="s">
        <v>361</v>
      </c>
      <c r="D18" s="22" t="s">
        <v>363</v>
      </c>
    </row>
    <row r="19" spans="1:4" ht="15">
      <c r="A19" s="18">
        <v>1</v>
      </c>
      <c r="B19" s="18">
        <v>2</v>
      </c>
      <c r="C19" s="18">
        <v>3</v>
      </c>
      <c r="D19" s="19">
        <v>4</v>
      </c>
    </row>
    <row r="20" spans="1:27" ht="15.75">
      <c r="A20" s="78" t="str">
        <f>CONCATENATE("Локальная смета     ",IF(Source!C12="1",Source!F20,Source!G20))</f>
        <v>Локальная смета     Новая локальная смета</v>
      </c>
      <c r="B20" s="79"/>
      <c r="C20" s="79"/>
      <c r="D20" s="80"/>
      <c r="AA20" s="62" t="str">
        <f>CONCATENATE("Локальная смета     ",IF(Source!C12="1",Source!F20,Source!G20))</f>
        <v>Локальная смета     Новая локальная смета</v>
      </c>
    </row>
    <row r="21" spans="1:5" ht="28.5">
      <c r="A21" s="64" t="str">
        <f>Source!E24</f>
        <v>1</v>
      </c>
      <c r="B21" s="66" t="str">
        <f>Source!G24</f>
        <v>Ремонт асфальтобетонного покрытия дорог однослойного толщиной: 70 мм площадью ремонта до 5 м2</v>
      </c>
      <c r="C21" s="68" t="str">
        <f>Source!H24</f>
        <v>100 м2</v>
      </c>
      <c r="D21" s="71">
        <f>Source!I24</f>
        <v>1.002</v>
      </c>
      <c r="E21" s="63"/>
    </row>
    <row r="22" spans="1:5" ht="14.25">
      <c r="A22" s="64" t="str">
        <f>Source!E25</f>
        <v>2</v>
      </c>
      <c r="B22" s="66" t="str">
        <f>Source!G25</f>
        <v>Планировка площадей бульдозерами мощностью 59 кВт (80л.с.)</v>
      </c>
      <c r="C22" s="68" t="str">
        <f>Source!H25</f>
        <v>1000 м2</v>
      </c>
      <c r="D22" s="71">
        <f>Source!I25</f>
        <v>0.0988</v>
      </c>
      <c r="E22" s="63"/>
    </row>
    <row r="23" spans="1:5" ht="14.25">
      <c r="A23" s="64" t="str">
        <f>Source!E26</f>
        <v>3</v>
      </c>
      <c r="B23" s="66" t="str">
        <f>Source!G26</f>
        <v>Устройство подстилающих и выравнивающих слоев оснований из песка</v>
      </c>
      <c r="C23" s="68" t="str">
        <f>Source!H26</f>
        <v>100 м3</v>
      </c>
      <c r="D23" s="71">
        <f>Source!I26</f>
        <v>0.09880000000000001</v>
      </c>
      <c r="E23" s="63"/>
    </row>
    <row r="24" spans="1:5" ht="14.25">
      <c r="A24" s="64" t="str">
        <f>Source!E28</f>
        <v>4</v>
      </c>
      <c r="B24" s="66" t="str">
        <f>Source!G28</f>
        <v>Устройство подстилающих и выравнивающих слоев оснований из щебня</v>
      </c>
      <c r="C24" s="68" t="str">
        <f>Source!H28</f>
        <v>100 м3</v>
      </c>
      <c r="D24" s="71">
        <f>Source!I28</f>
        <v>0.049400000000000006</v>
      </c>
      <c r="E24" s="63"/>
    </row>
    <row r="25" spans="1:5" ht="28.5">
      <c r="A25" s="64" t="str">
        <f>Source!E30</f>
        <v>5</v>
      </c>
      <c r="B25" s="66" t="str">
        <f>Source!G30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C25" s="68" t="str">
        <f>Source!H30</f>
        <v>1000 м2</v>
      </c>
      <c r="D25" s="71">
        <f>Source!I30</f>
        <v>0.0988</v>
      </c>
      <c r="E25" s="63"/>
    </row>
    <row r="26" spans="1:5" ht="28.5">
      <c r="A26" s="64" t="str">
        <f>Source!E31</f>
        <v>6</v>
      </c>
      <c r="B26" s="66" t="str">
        <f>Source!G31</f>
        <v>На каждые 0,5 см изменения толщины покрытия добавлять или исключать к расценке 27-06-020-01</v>
      </c>
      <c r="C26" s="68" t="str">
        <f>Source!H31</f>
        <v>1000 м2</v>
      </c>
      <c r="D26" s="71">
        <f>Source!I31</f>
        <v>0.0988</v>
      </c>
      <c r="E26" s="63"/>
    </row>
    <row r="27" spans="1:5" ht="14.25">
      <c r="A27" s="64" t="str">
        <f>Source!E32</f>
        <v>7</v>
      </c>
      <c r="B27" s="66" t="str">
        <f>Source!G32</f>
        <v>Установка дорожных знаков бесфундаментных на металлических стойках</v>
      </c>
      <c r="C27" s="68" t="str">
        <f>Source!H32</f>
        <v>100 шт.</v>
      </c>
      <c r="D27" s="71">
        <f>Source!I32</f>
        <v>0.01</v>
      </c>
      <c r="E27" s="63"/>
    </row>
    <row r="28" spans="1:5" ht="28.5">
      <c r="A28" s="64" t="str">
        <f>Source!E33</f>
        <v>8</v>
      </c>
      <c r="B28" s="66" t="str">
        <f>Source!G33</f>
        <v>Стойки металлические под дорожные знаки из круглых труб и гнутосварных профилей, массой до 0,01 т</v>
      </c>
      <c r="C28" s="68" t="str">
        <f>Source!H33</f>
        <v>т</v>
      </c>
      <c r="D28" s="71">
        <f>Source!I33</f>
        <v>0.03</v>
      </c>
      <c r="E28" s="63"/>
    </row>
    <row r="29" spans="1:5" ht="28.5">
      <c r="A29" s="65" t="str">
        <f>Source!E34</f>
        <v>9</v>
      </c>
      <c r="B29" s="67" t="str">
        <f>Source!G34</f>
        <v>Знаки дорожные на оцинкованной подоснове со световозвращающей пленкой дополнительной информации, размером 350х700 мм, тип 8.1.1, 8.1.3-8.12, 8.14-8.21.3</v>
      </c>
      <c r="C29" s="69" t="str">
        <f>Source!H34</f>
        <v>шт.</v>
      </c>
      <c r="D29" s="70">
        <f>Source!I34</f>
        <v>1</v>
      </c>
      <c r="E29" s="63"/>
    </row>
    <row r="33" s="38" customFormat="1" ht="15.75">
      <c r="B33" s="38" t="s">
        <v>364</v>
      </c>
    </row>
  </sheetData>
  <sheetProtection/>
  <mergeCells count="2">
    <mergeCell ref="A1:D1"/>
    <mergeCell ref="A20:D20"/>
  </mergeCells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="122" zoomScaleNormal="122"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0.8515625" style="0" bestFit="1" customWidth="1"/>
    <col min="7" max="7" width="11.28125" style="0" customWidth="1"/>
    <col min="8" max="8" width="10.8515625" style="0" bestFit="1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86.28125" style="0" hidden="1" customWidth="1"/>
    <col min="31" max="31" width="0" style="0" hidden="1" customWidth="1"/>
  </cols>
  <sheetData>
    <row r="1" spans="1:12" ht="12.75">
      <c r="A1" s="81" t="str">
        <f>Source!B1</f>
        <v>Smeta.ru  (495) 974-1589</v>
      </c>
      <c r="B1" s="81"/>
      <c r="C1" s="81"/>
      <c r="D1" s="81"/>
      <c r="H1" s="82" t="s">
        <v>329</v>
      </c>
      <c r="I1" s="82"/>
      <c r="J1" s="82"/>
      <c r="K1" s="82"/>
      <c r="L1" s="82"/>
    </row>
    <row r="2" spans="8:12" ht="12.75">
      <c r="H2" s="82" t="s">
        <v>330</v>
      </c>
      <c r="I2" s="82"/>
      <c r="J2" s="82"/>
      <c r="K2" s="82"/>
      <c r="L2" s="82"/>
    </row>
    <row r="3" spans="8:12" ht="12.75">
      <c r="H3" s="82" t="s">
        <v>331</v>
      </c>
      <c r="I3" s="82"/>
      <c r="J3" s="82"/>
      <c r="K3" s="82"/>
      <c r="L3" s="82"/>
    </row>
    <row r="5" spans="11:12" s="13" customFormat="1" ht="15">
      <c r="K5" s="83" t="s">
        <v>332</v>
      </c>
      <c r="L5" s="84"/>
    </row>
    <row r="6" spans="10:12" s="13" customFormat="1" ht="15">
      <c r="J6" s="16" t="s">
        <v>333</v>
      </c>
      <c r="K6" s="85" t="s">
        <v>334</v>
      </c>
      <c r="L6" s="86"/>
    </row>
    <row r="7" spans="1:30" s="13" customFormat="1" ht="15">
      <c r="A7" s="87" t="s">
        <v>335</v>
      </c>
      <c r="B7" s="87"/>
      <c r="C7" s="88"/>
      <c r="D7" s="88"/>
      <c r="E7" s="88"/>
      <c r="F7" s="88"/>
      <c r="G7" s="88"/>
      <c r="H7" s="88"/>
      <c r="I7" s="88"/>
      <c r="J7" s="16" t="s">
        <v>336</v>
      </c>
      <c r="K7" s="83"/>
      <c r="L7" s="84"/>
      <c r="AD7" s="35"/>
    </row>
    <row r="8" spans="1:30" s="13" customFormat="1" ht="15">
      <c r="A8" s="87" t="s">
        <v>337</v>
      </c>
      <c r="B8" s="87"/>
      <c r="C8" s="89" t="str">
        <f>IF(Source!CG12&lt;&gt;"",Source!CG12," ")</f>
        <v> </v>
      </c>
      <c r="D8" s="89"/>
      <c r="E8" s="89"/>
      <c r="F8" s="89"/>
      <c r="G8" s="89"/>
      <c r="H8" s="89"/>
      <c r="I8" s="89"/>
      <c r="J8" s="16" t="s">
        <v>336</v>
      </c>
      <c r="K8" s="83"/>
      <c r="L8" s="84"/>
      <c r="AD8" s="49" t="str">
        <f>IF(Source!CG12&lt;&gt;"",Source!CG12," ")</f>
        <v> </v>
      </c>
    </row>
    <row r="9" spans="1:30" s="13" customFormat="1" ht="15">
      <c r="A9" s="87" t="s">
        <v>338</v>
      </c>
      <c r="B9" s="87"/>
      <c r="C9" s="89" t="str">
        <f>IF(Source!CH12&lt;&gt;"",Source!CH12," ")</f>
        <v> </v>
      </c>
      <c r="D9" s="89"/>
      <c r="E9" s="89"/>
      <c r="F9" s="89"/>
      <c r="G9" s="89"/>
      <c r="H9" s="89"/>
      <c r="I9" s="89"/>
      <c r="J9" s="16" t="s">
        <v>336</v>
      </c>
      <c r="K9" s="83"/>
      <c r="L9" s="84"/>
      <c r="AD9" s="49" t="str">
        <f>IF(Source!CH12&lt;&gt;"",Source!CH12," ")</f>
        <v> </v>
      </c>
    </row>
    <row r="10" spans="1:30" s="13" customFormat="1" ht="15">
      <c r="A10" s="87" t="s">
        <v>339</v>
      </c>
      <c r="B10" s="87"/>
      <c r="C10" s="89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Б130 1 Мая дом24 и Трудовые резервы дом 10</v>
      </c>
      <c r="D10" s="89"/>
      <c r="E10" s="89"/>
      <c r="F10" s="89"/>
      <c r="G10" s="89"/>
      <c r="H10" s="89"/>
      <c r="I10" s="89"/>
      <c r="K10" s="83"/>
      <c r="L10" s="84"/>
      <c r="AD10" s="49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Б130 1 Мая дом24 и Трудовые резервы дом 10</v>
      </c>
    </row>
    <row r="11" spans="1:30" s="13" customFormat="1" ht="15">
      <c r="A11" s="87" t="s">
        <v>340</v>
      </c>
      <c r="B11" s="87"/>
      <c r="C11" s="89" t="str">
        <f>IF(Source!F12&lt;&gt;"",Source!F12,IF(Source!E12&lt;&gt;"",Source!E12," "))</f>
        <v>Новый объект</v>
      </c>
      <c r="D11" s="89"/>
      <c r="E11" s="89"/>
      <c r="F11" s="89"/>
      <c r="G11" s="89"/>
      <c r="H11" s="89"/>
      <c r="I11" s="89"/>
      <c r="K11" s="83"/>
      <c r="L11" s="84"/>
      <c r="AD11" s="49" t="str">
        <f>IF(Source!F12&lt;&gt;"",Source!F12,IF(Source!E12&lt;&gt;"",Source!E12," "))</f>
        <v>Новый объект</v>
      </c>
    </row>
    <row r="12" spans="6:12" s="13" customFormat="1" ht="15">
      <c r="F12" s="90" t="s">
        <v>341</v>
      </c>
      <c r="G12" s="90"/>
      <c r="H12" s="90"/>
      <c r="I12" s="90"/>
      <c r="K12" s="83"/>
      <c r="L12" s="84"/>
    </row>
    <row r="13" spans="6:12" s="13" customFormat="1" ht="15">
      <c r="F13" s="87" t="s">
        <v>342</v>
      </c>
      <c r="G13" s="87"/>
      <c r="H13" s="87"/>
      <c r="I13" s="87"/>
      <c r="J13" s="18" t="s">
        <v>343</v>
      </c>
      <c r="K13" s="83"/>
      <c r="L13" s="84"/>
    </row>
    <row r="14" spans="10:12" s="13" customFormat="1" ht="15">
      <c r="J14" s="23" t="s">
        <v>344</v>
      </c>
      <c r="K14" s="91"/>
      <c r="L14" s="92"/>
    </row>
    <row r="15" spans="11:12" ht="12.75">
      <c r="K15" s="47"/>
      <c r="L15" s="47"/>
    </row>
    <row r="17" spans="6:12" ht="39" customHeight="1">
      <c r="F17" s="93" t="s">
        <v>345</v>
      </c>
      <c r="G17" s="94"/>
      <c r="H17" s="93" t="s">
        <v>346</v>
      </c>
      <c r="I17" s="73"/>
      <c r="K17" s="93" t="s">
        <v>347</v>
      </c>
      <c r="L17" s="73"/>
    </row>
    <row r="18" spans="6:12" ht="15">
      <c r="F18" s="95"/>
      <c r="G18" s="96"/>
      <c r="H18" s="95"/>
      <c r="I18" s="74"/>
      <c r="K18" s="52" t="s">
        <v>348</v>
      </c>
      <c r="L18" s="53" t="s">
        <v>349</v>
      </c>
    </row>
    <row r="19" spans="6:12" ht="15">
      <c r="F19" s="91"/>
      <c r="G19" s="72"/>
      <c r="H19" s="91"/>
      <c r="I19" s="92"/>
      <c r="J19" s="47"/>
      <c r="K19" s="50"/>
      <c r="L19" s="51"/>
    </row>
    <row r="22" spans="1:12" s="43" customFormat="1" ht="18">
      <c r="A22" s="102" t="s">
        <v>350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4" spans="1:12" s="5" customFormat="1" ht="11.25">
      <c r="A24" s="103" t="s">
        <v>351</v>
      </c>
      <c r="B24" s="103"/>
      <c r="C24" s="103"/>
      <c r="D24" s="103"/>
      <c r="E24" s="103"/>
      <c r="F24" s="103"/>
      <c r="G24" s="103"/>
      <c r="H24" s="103"/>
      <c r="I24" s="103"/>
      <c r="J24" s="54">
        <f>IF(AND(Source!P12&lt;&gt;0,Source!Q12&lt;&gt;0),DATE(Source!P12,Source!Q12,1),IF(Source!AF12=0,"",IF(Source!AN12=0,"",DATE(Source!AF12,Source!AN12,1))))</f>
        <v>41091</v>
      </c>
      <c r="K24" s="55">
        <f>IF(AND(Source!P12&lt;&gt;0,Source!Q12&lt;&gt;0),Source!P12,IF(Source!AF12=0,"",Source!AF12))</f>
        <v>2012</v>
      </c>
      <c r="L24" s="56" t="s">
        <v>352</v>
      </c>
    </row>
    <row r="25" spans="1:12" ht="15">
      <c r="A25" s="17"/>
      <c r="B25" s="17"/>
      <c r="C25" s="17"/>
      <c r="D25" s="17"/>
      <c r="E25" s="17"/>
      <c r="F25" s="18" t="s">
        <v>293</v>
      </c>
      <c r="G25" s="18" t="s">
        <v>297</v>
      </c>
      <c r="H25" s="18" t="s">
        <v>301</v>
      </c>
      <c r="I25" s="18" t="s">
        <v>305</v>
      </c>
      <c r="J25" s="18" t="s">
        <v>309</v>
      </c>
      <c r="K25" s="18" t="s">
        <v>301</v>
      </c>
      <c r="L25" s="19" t="s">
        <v>313</v>
      </c>
    </row>
    <row r="26" spans="1:12" ht="15">
      <c r="A26" s="20" t="s">
        <v>281</v>
      </c>
      <c r="B26" s="20" t="s">
        <v>283</v>
      </c>
      <c r="C26" s="21"/>
      <c r="D26" s="20" t="s">
        <v>288</v>
      </c>
      <c r="E26" s="20" t="s">
        <v>291</v>
      </c>
      <c r="F26" s="20" t="s">
        <v>294</v>
      </c>
      <c r="G26" s="20" t="s">
        <v>298</v>
      </c>
      <c r="H26" s="20" t="s">
        <v>302</v>
      </c>
      <c r="I26" s="20" t="s">
        <v>306</v>
      </c>
      <c r="J26" s="20" t="s">
        <v>300</v>
      </c>
      <c r="K26" s="20" t="s">
        <v>310</v>
      </c>
      <c r="L26" s="22" t="s">
        <v>314</v>
      </c>
    </row>
    <row r="27" spans="1:12" ht="15">
      <c r="A27" s="20" t="s">
        <v>282</v>
      </c>
      <c r="B27" s="20" t="s">
        <v>284</v>
      </c>
      <c r="C27" s="20" t="s">
        <v>287</v>
      </c>
      <c r="D27" s="20" t="s">
        <v>289</v>
      </c>
      <c r="E27" s="20" t="s">
        <v>292</v>
      </c>
      <c r="F27" s="20" t="s">
        <v>295</v>
      </c>
      <c r="G27" s="20" t="s">
        <v>299</v>
      </c>
      <c r="H27" s="20" t="s">
        <v>303</v>
      </c>
      <c r="I27" s="20" t="s">
        <v>307</v>
      </c>
      <c r="J27" s="20" t="s">
        <v>307</v>
      </c>
      <c r="K27" s="20" t="s">
        <v>311</v>
      </c>
      <c r="L27" s="22" t="s">
        <v>315</v>
      </c>
    </row>
    <row r="28" spans="1:12" ht="15">
      <c r="A28" s="21"/>
      <c r="B28" s="20" t="s">
        <v>285</v>
      </c>
      <c r="C28" s="21"/>
      <c r="D28" s="20" t="s">
        <v>290</v>
      </c>
      <c r="E28" s="21"/>
      <c r="F28" s="20" t="s">
        <v>296</v>
      </c>
      <c r="G28" s="20" t="s">
        <v>300</v>
      </c>
      <c r="H28" s="20" t="s">
        <v>304</v>
      </c>
      <c r="I28" s="20" t="s">
        <v>308</v>
      </c>
      <c r="J28" s="20" t="s">
        <v>308</v>
      </c>
      <c r="K28" s="20" t="s">
        <v>312</v>
      </c>
      <c r="L28" s="22"/>
    </row>
    <row r="29" spans="1:12" ht="15">
      <c r="A29" s="21"/>
      <c r="B29" s="20" t="s">
        <v>286</v>
      </c>
      <c r="C29" s="21"/>
      <c r="D29" s="21"/>
      <c r="E29" s="21"/>
      <c r="F29" s="21"/>
      <c r="G29" s="20"/>
      <c r="H29" s="20"/>
      <c r="I29" s="20"/>
      <c r="J29" s="20"/>
      <c r="K29" s="20"/>
      <c r="L29" s="22"/>
    </row>
    <row r="30" spans="1:12" ht="15">
      <c r="A30" s="23">
        <v>1</v>
      </c>
      <c r="B30" s="23">
        <v>2</v>
      </c>
      <c r="C30" s="23">
        <v>3</v>
      </c>
      <c r="D30" s="23">
        <v>4</v>
      </c>
      <c r="E30" s="23">
        <v>5</v>
      </c>
      <c r="F30" s="23">
        <v>6</v>
      </c>
      <c r="G30" s="23">
        <v>7</v>
      </c>
      <c r="H30" s="23">
        <v>8</v>
      </c>
      <c r="I30" s="23">
        <v>9</v>
      </c>
      <c r="J30" s="23">
        <v>10</v>
      </c>
      <c r="K30" s="23">
        <v>11</v>
      </c>
      <c r="L30" s="24">
        <v>12</v>
      </c>
    </row>
    <row r="31" spans="3:30" ht="18">
      <c r="C31" s="25" t="s">
        <v>316</v>
      </c>
      <c r="D31" s="104" t="str">
        <f>IF(Source!C12="1",Source!F20,Source!G20)</f>
        <v>Новая локальная смета</v>
      </c>
      <c r="E31" s="105"/>
      <c r="F31" s="105"/>
      <c r="G31" s="105"/>
      <c r="H31" s="105"/>
      <c r="I31" s="105"/>
      <c r="J31" s="105"/>
      <c r="K31" s="105"/>
      <c r="L31" s="105"/>
      <c r="AD31" s="26" t="str">
        <f>IF(Source!C12="1",Source!F20,Source!G20)</f>
        <v>Новая локальная смета</v>
      </c>
    </row>
    <row r="33" spans="1:12" ht="60">
      <c r="A33" s="27" t="str">
        <f>Source!E24</f>
        <v>1</v>
      </c>
      <c r="B33" s="27" t="str">
        <f>Source!F24</f>
        <v>68-15-3</v>
      </c>
      <c r="C33" s="28" t="str">
        <f>Source!G24</f>
        <v>Ремонт асфальтобетонного покрытия дорог однослойного толщиной: 70 мм площадью ремонта до 5 м2</v>
      </c>
      <c r="D33" s="29" t="str">
        <f>Source!H24</f>
        <v>100 м2</v>
      </c>
      <c r="E33" s="13">
        <f>ROUND(Source!I24,6)</f>
        <v>1.002</v>
      </c>
      <c r="F33" s="15">
        <f>IF(Source!AK24&lt;&gt;0,Source!AK24,Source!AL24+Source!AM24+Source!AO24)</f>
        <v>9362.5</v>
      </c>
      <c r="G33" s="13"/>
      <c r="H33" s="13"/>
      <c r="I33" s="30" t="str">
        <f>IF(Source!BO24&lt;&gt;"",Source!BO24,"")</f>
        <v>68-15-3</v>
      </c>
      <c r="J33" s="13"/>
      <c r="K33" s="13"/>
      <c r="L33" s="13"/>
    </row>
    <row r="34" spans="1:12" ht="15">
      <c r="A34" s="13"/>
      <c r="B34" s="13"/>
      <c r="C34" s="13" t="s">
        <v>317</v>
      </c>
      <c r="D34" s="13"/>
      <c r="E34" s="13"/>
      <c r="F34" s="15">
        <f>Source!AO24</f>
        <v>1078.64</v>
      </c>
      <c r="G34" s="30">
        <f>Source!DG24</f>
      </c>
      <c r="H34" s="15">
        <f>ROUND((Source!CT24/IF(Source!BA24&lt;&gt;0,Source!BA24,1)*Source!I24),2)</f>
        <v>1080.8</v>
      </c>
      <c r="I34" s="13"/>
      <c r="J34" s="13">
        <f>Source!BA24</f>
        <v>17.84</v>
      </c>
      <c r="K34" s="15">
        <f>Source!S24</f>
        <v>19281.42</v>
      </c>
      <c r="L34" s="13"/>
    </row>
    <row r="35" spans="1:12" ht="15">
      <c r="A35" s="13"/>
      <c r="B35" s="13"/>
      <c r="C35" s="13" t="s">
        <v>93</v>
      </c>
      <c r="D35" s="13"/>
      <c r="E35" s="13"/>
      <c r="F35" s="15">
        <f>Source!AM24</f>
        <v>514.15</v>
      </c>
      <c r="G35" s="30">
        <f>Source!DE24</f>
      </c>
      <c r="H35" s="15">
        <f>ROUND((Source!CR24/IF(Source!BB24&lt;&gt;0,Source!BB24,1)*Source!I24),2)</f>
        <v>515.18</v>
      </c>
      <c r="I35" s="13"/>
      <c r="J35" s="13">
        <f>Source!BB24</f>
        <v>7.77</v>
      </c>
      <c r="K35" s="15">
        <f>Source!Q24</f>
        <v>4002.94</v>
      </c>
      <c r="L35" s="13"/>
    </row>
    <row r="36" spans="1:12" ht="15">
      <c r="A36" s="13"/>
      <c r="B36" s="13"/>
      <c r="C36" s="13" t="s">
        <v>318</v>
      </c>
      <c r="D36" s="13"/>
      <c r="E36" s="13"/>
      <c r="F36" s="15">
        <f>Source!AN24</f>
        <v>80.92</v>
      </c>
      <c r="G36" s="30">
        <f>Source!DF24</f>
      </c>
      <c r="H36" s="32">
        <f>ROUND((Source!CS24/IF(Source!BS24&lt;&gt;0,Source!BS24,1)*Source!I24),2)</f>
        <v>81.08</v>
      </c>
      <c r="I36" s="13"/>
      <c r="J36" s="13">
        <f>Source!BS24</f>
        <v>17.84</v>
      </c>
      <c r="K36" s="32">
        <f>Source!R24</f>
        <v>1446.5</v>
      </c>
      <c r="L36" s="13"/>
    </row>
    <row r="37" spans="1:12" ht="15">
      <c r="A37" s="13"/>
      <c r="B37" s="13"/>
      <c r="C37" s="13" t="s">
        <v>319</v>
      </c>
      <c r="D37" s="13"/>
      <c r="E37" s="13"/>
      <c r="F37" s="15">
        <f>Source!AL24</f>
        <v>7769.71</v>
      </c>
      <c r="G37" s="30">
        <f>Source!DD24</f>
      </c>
      <c r="H37" s="15">
        <f>ROUND((Source!CQ24/IF(Source!BC24&lt;&gt;0,Source!BC24,1)*Source!I24),2)</f>
        <v>7785.25</v>
      </c>
      <c r="I37" s="13"/>
      <c r="J37" s="13">
        <f>Source!BC24</f>
        <v>5.23</v>
      </c>
      <c r="K37" s="15">
        <f>Source!P24</f>
        <v>40716.85</v>
      </c>
      <c r="L37" s="13"/>
    </row>
    <row r="38" spans="1:24" ht="15">
      <c r="A38" s="13"/>
      <c r="B38" s="13"/>
      <c r="C38" s="13" t="s">
        <v>320</v>
      </c>
      <c r="D38" s="16" t="s">
        <v>321</v>
      </c>
      <c r="E38" s="13"/>
      <c r="F38" s="15">
        <f>Source!BZ24</f>
        <v>104</v>
      </c>
      <c r="G38" s="13"/>
      <c r="H38" s="15">
        <f>X38</f>
        <v>1208.36</v>
      </c>
      <c r="I38" s="13" t="str">
        <f>Source!FV24</f>
        <v>((*0.85))</v>
      </c>
      <c r="J38" s="15">
        <f>Source!AT24</f>
        <v>88</v>
      </c>
      <c r="K38" s="15">
        <f>Source!X24</f>
        <v>18240.57</v>
      </c>
      <c r="L38" s="13"/>
      <c r="X38">
        <f>ROUND((Source!FX24/100)*(ROUND((Source!CT24/IF(Source!BA24&lt;&gt;0,Source!BA24,1)*Source!I24),2)+ROUND((Source!CS24/IF(Source!BS24&lt;&gt;0,Source!BS24,1)*Source!I24),2)),2)</f>
        <v>1208.36</v>
      </c>
    </row>
    <row r="39" spans="1:25" ht="15">
      <c r="A39" s="13"/>
      <c r="B39" s="13"/>
      <c r="C39" s="13" t="s">
        <v>109</v>
      </c>
      <c r="D39" s="16" t="s">
        <v>321</v>
      </c>
      <c r="E39" s="13"/>
      <c r="F39" s="15">
        <f>Source!CA24</f>
        <v>60</v>
      </c>
      <c r="G39" s="13"/>
      <c r="H39" s="15">
        <f>Y39</f>
        <v>697.13</v>
      </c>
      <c r="I39" s="13" t="str">
        <f>Source!FW24</f>
        <v>((*0.8))</v>
      </c>
      <c r="J39" s="15">
        <f>Source!AU24</f>
        <v>48</v>
      </c>
      <c r="K39" s="15">
        <f>Source!Y24</f>
        <v>9949.4</v>
      </c>
      <c r="L39" s="13"/>
      <c r="Y39">
        <f>ROUND((Source!FY24/100)*(ROUND((Source!CT24/IF(Source!BA24&lt;&gt;0,Source!BA24,1)*Source!I24),2)+ROUND((Source!CS24/IF(Source!BS24&lt;&gt;0,Source!BS24,1)*Source!I24),2)),2)</f>
        <v>697.13</v>
      </c>
    </row>
    <row r="40" spans="1:12" ht="15">
      <c r="A40" s="33"/>
      <c r="B40" s="33"/>
      <c r="C40" s="33" t="s">
        <v>322</v>
      </c>
      <c r="D40" s="34" t="s">
        <v>323</v>
      </c>
      <c r="E40" s="33">
        <f>Source!AQ24</f>
        <v>129.8</v>
      </c>
      <c r="F40" s="33"/>
      <c r="G40" s="35">
        <f>Source!DI24</f>
      </c>
      <c r="H40" s="33"/>
      <c r="I40" s="33"/>
      <c r="J40" s="33"/>
      <c r="K40" s="33"/>
      <c r="L40" s="36">
        <f>Source!U24</f>
        <v>130.05960000000002</v>
      </c>
    </row>
    <row r="41" spans="1:23" ht="15.75">
      <c r="A41" s="13"/>
      <c r="B41" s="13"/>
      <c r="C41" s="13"/>
      <c r="D41" s="13"/>
      <c r="E41" s="13"/>
      <c r="F41" s="13"/>
      <c r="G41" s="13"/>
      <c r="H41" s="37">
        <f>ROUND((Source!CT24/IF(Source!BA24&lt;&gt;0,Source!BA24,1)*Source!I24),2)+ROUND((Source!CR24/IF(Source!BB24&lt;&gt;0,Source!BB24,1)*Source!I24),2)+H37+H38+H39</f>
        <v>11286.72</v>
      </c>
      <c r="I41" s="38"/>
      <c r="J41" s="38"/>
      <c r="K41" s="37">
        <f>Source!S24+Source!Q24+K37+K38+K39</f>
        <v>92191.18</v>
      </c>
      <c r="L41" s="37">
        <f>Source!U24</f>
        <v>130.05960000000002</v>
      </c>
      <c r="M41" s="31">
        <f>H41</f>
        <v>11286.72</v>
      </c>
      <c r="N41">
        <f>ROUND((Source!CT24/IF(Source!BA24&lt;&gt;0,Source!BA24,1)*Source!I24),2)</f>
        <v>1080.8</v>
      </c>
      <c r="O41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11286.7067568</v>
      </c>
      <c r="P41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41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41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41">
        <f>IF(Source!BI24=1,Source!O24+Source!X24+Source!Y24,0)</f>
        <v>92191.18</v>
      </c>
      <c r="T41">
        <f>IF(Source!BI24=2,Source!O24+Source!X24+Source!Y24,0)</f>
        <v>0</v>
      </c>
      <c r="U41">
        <f>IF(Source!BI24=3,Source!O24+Source!X24+Source!Y24,0)</f>
        <v>0</v>
      </c>
      <c r="V41">
        <f>IF(Source!BI24=4,Source!O24+Source!X24+Source!Y24,0)</f>
        <v>0</v>
      </c>
      <c r="W41">
        <f>ROUND((Source!CS24/IF(Source!BS24&lt;&gt;0,Source!BS24,1)*Source!I24),2)</f>
        <v>81.08</v>
      </c>
    </row>
    <row r="42" spans="1:12" ht="45">
      <c r="A42" s="27" t="str">
        <f>Source!E25</f>
        <v>2</v>
      </c>
      <c r="B42" s="27" t="str">
        <f>Source!F25</f>
        <v>01-01-036-1</v>
      </c>
      <c r="C42" s="28" t="str">
        <f>Source!G25</f>
        <v>Планировка площадей бульдозерами мощностью 59 кВт (80л.с.)</v>
      </c>
      <c r="D42" s="29" t="str">
        <f>Source!H25</f>
        <v>1000 м2</v>
      </c>
      <c r="E42" s="13">
        <f>ROUND(Source!I25,6)</f>
        <v>0.0988</v>
      </c>
      <c r="F42" s="15">
        <f>IF(Source!AK25&lt;&gt;0,Source!AK25,Source!AL25+Source!AM25+Source!AO25)</f>
        <v>23.29</v>
      </c>
      <c r="G42" s="13"/>
      <c r="H42" s="13"/>
      <c r="I42" s="30" t="str">
        <f>IF(Source!BO25&lt;&gt;"",Source!BO25,"")</f>
        <v>01-01-036-1</v>
      </c>
      <c r="J42" s="13"/>
      <c r="K42" s="13"/>
      <c r="L42" s="13"/>
    </row>
    <row r="43" spans="1:12" ht="15">
      <c r="A43" s="13"/>
      <c r="B43" s="13"/>
      <c r="C43" s="13" t="s">
        <v>93</v>
      </c>
      <c r="D43" s="13"/>
      <c r="E43" s="13"/>
      <c r="F43" s="15">
        <f>Source!AM25</f>
        <v>23.29</v>
      </c>
      <c r="G43" s="30">
        <f>Source!DE25</f>
      </c>
      <c r="H43" s="15">
        <f>ROUND((Source!CR25/IF(Source!BB25&lt;&gt;0,Source!BB25,1)*Source!I25),2)</f>
        <v>2.3</v>
      </c>
      <c r="I43" s="13"/>
      <c r="J43" s="13">
        <f>Source!BB25</f>
        <v>11.02</v>
      </c>
      <c r="K43" s="15">
        <f>Source!Q25</f>
        <v>25.36</v>
      </c>
      <c r="L43" s="13"/>
    </row>
    <row r="44" spans="1:12" ht="15">
      <c r="A44" s="13"/>
      <c r="B44" s="13"/>
      <c r="C44" s="13" t="s">
        <v>318</v>
      </c>
      <c r="D44" s="13"/>
      <c r="E44" s="13"/>
      <c r="F44" s="15">
        <f>Source!AN25</f>
        <v>5.13</v>
      </c>
      <c r="G44" s="30">
        <f>Source!DF25</f>
      </c>
      <c r="H44" s="32">
        <f>ROUND((Source!CS25/IF(Source!BS25&lt;&gt;0,Source!BS25,1)*Source!I25),2)</f>
        <v>0.51</v>
      </c>
      <c r="I44" s="13"/>
      <c r="J44" s="13">
        <f>Source!BS25</f>
        <v>17.84</v>
      </c>
      <c r="K44" s="32">
        <f>Source!R25</f>
        <v>9.04</v>
      </c>
      <c r="L44" s="13"/>
    </row>
    <row r="45" spans="1:24" ht="15">
      <c r="A45" s="13"/>
      <c r="B45" s="13"/>
      <c r="C45" s="13" t="s">
        <v>320</v>
      </c>
      <c r="D45" s="16" t="s">
        <v>321</v>
      </c>
      <c r="E45" s="13"/>
      <c r="F45" s="15">
        <f>Source!BZ25</f>
        <v>95</v>
      </c>
      <c r="G45" s="13"/>
      <c r="H45" s="15">
        <f>X45</f>
        <v>0.48</v>
      </c>
      <c r="I45" s="13" t="str">
        <f>Source!FV25</f>
        <v>((*0.85))</v>
      </c>
      <c r="J45" s="15">
        <f>Source!AT25</f>
        <v>81</v>
      </c>
      <c r="K45" s="15">
        <f>Source!X25</f>
        <v>7.32</v>
      </c>
      <c r="L45" s="13"/>
      <c r="X45">
        <f>ROUND((Source!FX25/100)*(ROUND((Source!CT25/IF(Source!BA25&lt;&gt;0,Source!BA25,1)*Source!I25),2)+ROUND((Source!CS25/IF(Source!BS25&lt;&gt;0,Source!BS25,1)*Source!I25),2)),2)</f>
        <v>0.48</v>
      </c>
    </row>
    <row r="46" spans="1:25" ht="15">
      <c r="A46" s="33"/>
      <c r="B46" s="33"/>
      <c r="C46" s="33" t="s">
        <v>109</v>
      </c>
      <c r="D46" s="34" t="s">
        <v>321</v>
      </c>
      <c r="E46" s="33"/>
      <c r="F46" s="36">
        <f>Source!CA25</f>
        <v>50</v>
      </c>
      <c r="G46" s="33"/>
      <c r="H46" s="36">
        <f>Y46</f>
        <v>0.26</v>
      </c>
      <c r="I46" s="33" t="str">
        <f>Source!FW25</f>
        <v>((*0.8))</v>
      </c>
      <c r="J46" s="36">
        <f>Source!AU25</f>
        <v>40</v>
      </c>
      <c r="K46" s="36">
        <f>Source!Y25</f>
        <v>3.62</v>
      </c>
      <c r="L46" s="33"/>
      <c r="Y46">
        <f>ROUND((Source!FY25/100)*(ROUND((Source!CT25/IF(Source!BA25&lt;&gt;0,Source!BA25,1)*Source!I25),2)+ROUND((Source!CS25/IF(Source!BS25&lt;&gt;0,Source!BS25,1)*Source!I25),2)),2)</f>
        <v>0.26</v>
      </c>
    </row>
    <row r="47" spans="1:23" ht="15.75">
      <c r="A47" s="13"/>
      <c r="B47" s="13"/>
      <c r="C47" s="13"/>
      <c r="D47" s="13"/>
      <c r="E47" s="13"/>
      <c r="F47" s="13"/>
      <c r="G47" s="13"/>
      <c r="H47" s="37">
        <f>ROUND((Source!CT25/IF(Source!BA25&lt;&gt;0,Source!BA25,1)*Source!I25),2)+ROUND((Source!CR25/IF(Source!BB25&lt;&gt;0,Source!BB25,1)*Source!I25),2)+H45+H46</f>
        <v>3.04</v>
      </c>
      <c r="I47" s="38"/>
      <c r="J47" s="38"/>
      <c r="K47" s="37">
        <f>Source!S25+Source!Q25+K45+K46</f>
        <v>36.3</v>
      </c>
      <c r="L47" s="37">
        <f>Source!U25</f>
        <v>0</v>
      </c>
      <c r="M47" s="31">
        <f>H47</f>
        <v>3.04</v>
      </c>
      <c r="N47">
        <f>ROUND((Source!CT25/IF(Source!BA25&lt;&gt;0,Source!BA25,1)*Source!I25),2)</f>
        <v>0</v>
      </c>
      <c r="O47">
        <f>IF(Source!BI25=1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3.0359757999999997</v>
      </c>
      <c r="P47">
        <f>IF(Source!BI25=2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Q47">
        <f>IF(Source!BI25=3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R47">
        <f>IF(Source!BI25=4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S47">
        <f>IF(Source!BI25=1,Source!O25+Source!X25+Source!Y25,0)</f>
        <v>36.3</v>
      </c>
      <c r="T47">
        <f>IF(Source!BI25=2,Source!O25+Source!X25+Source!Y25,0)</f>
        <v>0</v>
      </c>
      <c r="U47">
        <f>IF(Source!BI25=3,Source!O25+Source!X25+Source!Y25,0)</f>
        <v>0</v>
      </c>
      <c r="V47">
        <f>IF(Source!BI25=4,Source!O25+Source!X25+Source!Y25,0)</f>
        <v>0</v>
      </c>
      <c r="W47">
        <f>ROUND((Source!CS25/IF(Source!BS25&lt;&gt;0,Source!BS25,1)*Source!I25),2)</f>
        <v>0.51</v>
      </c>
    </row>
    <row r="48" spans="1:12" ht="45">
      <c r="A48" s="27" t="str">
        <f>Source!E26</f>
        <v>3</v>
      </c>
      <c r="B48" s="27" t="str">
        <f>Source!F26</f>
        <v>27-04-001-1</v>
      </c>
      <c r="C48" s="28" t="str">
        <f>Source!G26</f>
        <v>Устройство подстилающих и выравнивающих слоев оснований из песка</v>
      </c>
      <c r="D48" s="29" t="str">
        <f>Source!H26</f>
        <v>100 м3</v>
      </c>
      <c r="E48" s="13">
        <f>ROUND(Source!I26,6)</f>
        <v>0.0988</v>
      </c>
      <c r="F48" s="15">
        <f>IF(Source!AK26&lt;&gt;0,Source!AK26,Source!AL26+Source!AM26+Source!AO26)</f>
        <v>2324.46</v>
      </c>
      <c r="G48" s="13"/>
      <c r="H48" s="13"/>
      <c r="I48" s="30" t="str">
        <f>IF(Source!BO26&lt;&gt;"",Source!BO26,"")</f>
        <v>27-04-001-1</v>
      </c>
      <c r="J48" s="13"/>
      <c r="K48" s="13"/>
      <c r="L48" s="13"/>
    </row>
    <row r="49" spans="1:12" ht="15">
      <c r="A49" s="13"/>
      <c r="B49" s="13"/>
      <c r="C49" s="13" t="s">
        <v>317</v>
      </c>
      <c r="D49" s="13"/>
      <c r="E49" s="13"/>
      <c r="F49" s="15">
        <f>Source!AO26</f>
        <v>126.07</v>
      </c>
      <c r="G49" s="30">
        <f>Source!DG26</f>
      </c>
      <c r="H49" s="15">
        <f>ROUND((Source!CT26/IF(Source!BA26&lt;&gt;0,Source!BA26,1)*Source!I26),2)</f>
        <v>12.46</v>
      </c>
      <c r="I49" s="13"/>
      <c r="J49" s="13">
        <f>Source!BA26</f>
        <v>17.84</v>
      </c>
      <c r="K49" s="15">
        <f>Source!S26</f>
        <v>222.21</v>
      </c>
      <c r="L49" s="13"/>
    </row>
    <row r="50" spans="1:12" ht="15">
      <c r="A50" s="13"/>
      <c r="B50" s="13"/>
      <c r="C50" s="13" t="s">
        <v>93</v>
      </c>
      <c r="D50" s="13"/>
      <c r="E50" s="13"/>
      <c r="F50" s="15">
        <f>Source!AM26</f>
        <v>2186.19</v>
      </c>
      <c r="G50" s="30">
        <f>Source!DE26</f>
      </c>
      <c r="H50" s="15">
        <f>ROUND((Source!CR26/IF(Source!BB26&lt;&gt;0,Source!BB26,1)*Source!I26),2)</f>
        <v>216</v>
      </c>
      <c r="I50" s="13"/>
      <c r="J50" s="13">
        <f>Source!BB26</f>
        <v>5.79</v>
      </c>
      <c r="K50" s="15">
        <f>Source!Q26</f>
        <v>1250.61</v>
      </c>
      <c r="L50" s="13"/>
    </row>
    <row r="51" spans="1:12" ht="15">
      <c r="A51" s="13"/>
      <c r="B51" s="13"/>
      <c r="C51" s="13" t="s">
        <v>318</v>
      </c>
      <c r="D51" s="13"/>
      <c r="E51" s="13"/>
      <c r="F51" s="15">
        <f>Source!AN26</f>
        <v>177.53</v>
      </c>
      <c r="G51" s="30">
        <f>Source!DF26</f>
      </c>
      <c r="H51" s="32">
        <f>ROUND((Source!CS26/IF(Source!BS26&lt;&gt;0,Source!BS26,1)*Source!I26),2)</f>
        <v>17.54</v>
      </c>
      <c r="I51" s="13"/>
      <c r="J51" s="13">
        <f>Source!BS26</f>
        <v>17.84</v>
      </c>
      <c r="K51" s="32">
        <f>Source!R26</f>
        <v>312.91</v>
      </c>
      <c r="L51" s="13"/>
    </row>
    <row r="52" spans="1:12" ht="15">
      <c r="A52" s="13"/>
      <c r="B52" s="13"/>
      <c r="C52" s="13" t="s">
        <v>319</v>
      </c>
      <c r="D52" s="13"/>
      <c r="E52" s="13"/>
      <c r="F52" s="15">
        <f>Source!AL26</f>
        <v>12.2</v>
      </c>
      <c r="G52" s="30">
        <f>Source!DD26</f>
      </c>
      <c r="H52" s="15">
        <f>ROUND((Source!CQ26/IF(Source!BC26&lt;&gt;0,Source!BC26,1)*Source!I26),2)</f>
        <v>1.21</v>
      </c>
      <c r="I52" s="13"/>
      <c r="J52" s="13">
        <f>Source!BC26</f>
        <v>4.95</v>
      </c>
      <c r="K52" s="15">
        <f>Source!P26</f>
        <v>5.97</v>
      </c>
      <c r="L52" s="13"/>
    </row>
    <row r="53" spans="1:24" ht="15">
      <c r="A53" s="13"/>
      <c r="B53" s="13"/>
      <c r="C53" s="13" t="s">
        <v>320</v>
      </c>
      <c r="D53" s="16" t="s">
        <v>321</v>
      </c>
      <c r="E53" s="13"/>
      <c r="F53" s="15">
        <f>Source!BZ26</f>
        <v>142</v>
      </c>
      <c r="G53" s="13"/>
      <c r="H53" s="15">
        <f>X53+X56</f>
        <v>42.6</v>
      </c>
      <c r="I53" s="13" t="str">
        <f>Source!FV26</f>
        <v>((*0.85))</v>
      </c>
      <c r="J53" s="15">
        <f>Source!AT26</f>
        <v>121</v>
      </c>
      <c r="K53" s="15">
        <f>Source!X26+Source!X27</f>
        <v>647.5</v>
      </c>
      <c r="L53" s="13"/>
      <c r="X53">
        <f>ROUND((Source!FX26/100)*(ROUND((Source!CT26/IF(Source!BA26&lt;&gt;0,Source!BA26,1)*Source!I26),2)+ROUND((Source!CS26/IF(Source!BS26&lt;&gt;0,Source!BS26,1)*Source!I26),2)),2)</f>
        <v>42.6</v>
      </c>
    </row>
    <row r="54" spans="1:25" ht="15">
      <c r="A54" s="13"/>
      <c r="B54" s="13"/>
      <c r="C54" s="13" t="s">
        <v>109</v>
      </c>
      <c r="D54" s="16" t="s">
        <v>321</v>
      </c>
      <c r="E54" s="13"/>
      <c r="F54" s="15">
        <f>Source!CA26</f>
        <v>95</v>
      </c>
      <c r="G54" s="13"/>
      <c r="H54" s="15">
        <f>Y54+Y56</f>
        <v>28.5</v>
      </c>
      <c r="I54" s="13" t="str">
        <f>Source!FW26</f>
        <v>((*0.8))</v>
      </c>
      <c r="J54" s="15">
        <f>Source!AU26</f>
        <v>76</v>
      </c>
      <c r="K54" s="15">
        <f>Source!Y26+Source!Y27</f>
        <v>406.69</v>
      </c>
      <c r="L54" s="13"/>
      <c r="Y54">
        <f>ROUND((Source!FY26/100)*(ROUND((Source!CT26/IF(Source!BA26&lt;&gt;0,Source!BA26,1)*Source!I26),2)+ROUND((Source!CS26/IF(Source!BS26&lt;&gt;0,Source!BS26,1)*Source!I26),2)),2)</f>
        <v>28.5</v>
      </c>
    </row>
    <row r="55" spans="1:12" ht="15">
      <c r="A55" s="13"/>
      <c r="B55" s="13"/>
      <c r="C55" s="13" t="s">
        <v>322</v>
      </c>
      <c r="D55" s="16" t="s">
        <v>323</v>
      </c>
      <c r="E55" s="13">
        <f>Source!AQ26</f>
        <v>15.72</v>
      </c>
      <c r="F55" s="13"/>
      <c r="G55" s="30">
        <f>Source!DI26</f>
      </c>
      <c r="H55" s="13"/>
      <c r="I55" s="13"/>
      <c r="J55" s="13"/>
      <c r="K55" s="13"/>
      <c r="L55" s="15">
        <f>Source!U26</f>
        <v>1.5531360000000003</v>
      </c>
    </row>
    <row r="56" spans="1:25" ht="30">
      <c r="A56" s="39"/>
      <c r="B56" s="39" t="str">
        <f>Source!F27</f>
        <v>408-0122</v>
      </c>
      <c r="C56" s="40" t="str">
        <f>Source!G27</f>
        <v>Песок природный для строительных работ средний</v>
      </c>
      <c r="D56" s="41" t="str">
        <f>Source!H27</f>
        <v>м3</v>
      </c>
      <c r="E56" s="33">
        <f>ROUND(Source!I27,6)</f>
        <v>10.868</v>
      </c>
      <c r="F56" s="36">
        <f>IF(Source!AL27=0,Source!AK27,Source!AL27)</f>
        <v>55.26</v>
      </c>
      <c r="G56" s="35">
        <f>Source!DD27</f>
      </c>
      <c r="H56" s="42">
        <f>ROUND((Source!CR27/IF(Source!BB27&lt;&gt;0,Source!BB27,1)*Source!I27),2)+ROUND((Source!CQ27/IF(Source!BC27&lt;&gt;0,Source!BC27,1)*Source!I27),2)+ROUND((Source!CT27/IF(Source!BA27&lt;&gt;0,Source!BA27,1)*Source!I27),2)</f>
        <v>600.57</v>
      </c>
      <c r="I56" s="35" t="str">
        <f>IF(Source!BO27&lt;&gt;"",Source!BO27,"")</f>
        <v>408-0122</v>
      </c>
      <c r="J56" s="33">
        <f>Source!BC27</f>
        <v>9.25</v>
      </c>
      <c r="K56" s="36">
        <f>Source!O27</f>
        <v>5555.23</v>
      </c>
      <c r="L56" s="33"/>
      <c r="N56">
        <f>ROUND((Source!CT27/IF(Source!BA27&lt;&gt;0,Source!BA27,1)*Source!I27),2)</f>
        <v>0</v>
      </c>
      <c r="O56">
        <f>IF(Source!BI27=1,(ROUND((Source!CR27/IF(Source!BB27&lt;&gt;0,Source!BB27,1)*Source!I27),2)+ROUND((Source!CQ27/IF(Source!BC27&lt;&gt;0,Source!BC27,1)*Source!I27),2)+ROUND((Source!CT27/IF(Source!BA27&lt;&gt;0,Source!BA27,1)*Source!I27),2)),0)</f>
        <v>600.57</v>
      </c>
      <c r="P56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56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56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S56">
        <f>IF(Source!BI27=1,Source!O27+Source!X27+Source!Y27,0)</f>
        <v>5555.23</v>
      </c>
      <c r="T56">
        <f>IF(Source!BI27=2,Source!O27+Source!X27+Source!Y27,0)</f>
        <v>0</v>
      </c>
      <c r="U56">
        <f>IF(Source!BI27=3,Source!O27+Source!X27+Source!Y27,0)</f>
        <v>0</v>
      </c>
      <c r="V56">
        <f>IF(Source!BI27=4,Source!O27+Source!X27+Source!Y27,0)</f>
        <v>0</v>
      </c>
      <c r="W56">
        <f>ROUND((Source!CS27/IF(Source!BS27&lt;&gt;0,Source!BS27,1)*Source!I27),2)</f>
        <v>0</v>
      </c>
      <c r="X56">
        <f>ROUND((Source!FX27/100)*(ROUND((Source!CT27/IF(Source!BA27&lt;&gt;0,Source!BA27,1)*Source!I27),2)+ROUND((Source!CS27/IF(Source!BS27&lt;&gt;0,Source!BS27,1)*Source!I27),2)),2)</f>
        <v>0</v>
      </c>
      <c r="Y56">
        <f>ROUND((Source!FY27/100)*(ROUND((Source!CT27/IF(Source!BA27&lt;&gt;0,Source!BA27,1)*Source!I27),2)+ROUND((Source!CS27/IF(Source!BS27&lt;&gt;0,Source!BS27,1)*Source!I27),2)),2)</f>
        <v>0</v>
      </c>
    </row>
    <row r="57" spans="1:23" ht="15.75">
      <c r="A57" s="13"/>
      <c r="B57" s="13"/>
      <c r="C57" s="13"/>
      <c r="D57" s="13"/>
      <c r="E57" s="13"/>
      <c r="F57" s="13"/>
      <c r="G57" s="13"/>
      <c r="H57" s="37">
        <f>ROUND((Source!CT26/IF(Source!BA26&lt;&gt;0,Source!BA26,1)*Source!I26),2)+ROUND((Source!CR26/IF(Source!BB26&lt;&gt;0,Source!BB26,1)*Source!I26),2)+H52+H53+H54+H56</f>
        <v>901.3400000000001</v>
      </c>
      <c r="I57" s="38"/>
      <c r="J57" s="38"/>
      <c r="K57" s="37">
        <f>Source!S26+Source!Q26+K52+K53+K54+K56</f>
        <v>8088.209999999999</v>
      </c>
      <c r="L57" s="37">
        <f>Source!U26</f>
        <v>1.5531360000000003</v>
      </c>
      <c r="M57" s="31">
        <f>H57</f>
        <v>901.3400000000001</v>
      </c>
      <c r="N57">
        <f>ROUND((Source!CT26/IF(Source!BA26&lt;&gt;0,Source!BA26,1)*Source!I26),2)</f>
        <v>12.46</v>
      </c>
      <c r="O57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300.74640960000005</v>
      </c>
      <c r="P57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57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57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57">
        <f>IF(Source!BI26=1,Source!O26+Source!X26+Source!Y26,0)</f>
        <v>2532.98</v>
      </c>
      <c r="T57">
        <f>IF(Source!BI26=2,Source!O26+Source!X26+Source!Y26,0)</f>
        <v>0</v>
      </c>
      <c r="U57">
        <f>IF(Source!BI26=3,Source!O26+Source!X26+Source!Y26,0)</f>
        <v>0</v>
      </c>
      <c r="V57">
        <f>IF(Source!BI26=4,Source!O26+Source!X26+Source!Y26,0)</f>
        <v>0</v>
      </c>
      <c r="W57">
        <f>ROUND((Source!CS26/IF(Source!BS26&lt;&gt;0,Source!BS26,1)*Source!I26),2)</f>
        <v>17.54</v>
      </c>
    </row>
    <row r="58" spans="1:12" ht="45">
      <c r="A58" s="27" t="str">
        <f>Source!E28</f>
        <v>4</v>
      </c>
      <c r="B58" s="27" t="str">
        <f>Source!F28</f>
        <v>27-04-001-4</v>
      </c>
      <c r="C58" s="28" t="str">
        <f>Source!G28</f>
        <v>Устройство подстилающих и выравнивающих слоев оснований из щебня</v>
      </c>
      <c r="D58" s="29" t="str">
        <f>Source!H28</f>
        <v>100 м3</v>
      </c>
      <c r="E58" s="13">
        <f>ROUND(Source!I28,6)</f>
        <v>0.0494</v>
      </c>
      <c r="F58" s="15">
        <f>IF(Source!AK28&lt;&gt;0,Source!AK28,Source!AL28+Source!AM28+Source!AO28)</f>
        <v>3578.4199999999996</v>
      </c>
      <c r="G58" s="13"/>
      <c r="H58" s="13"/>
      <c r="I58" s="30" t="str">
        <f>IF(Source!BO28&lt;&gt;"",Source!BO28,"")</f>
        <v>27-04-001-4</v>
      </c>
      <c r="J58" s="13"/>
      <c r="K58" s="13"/>
      <c r="L58" s="13"/>
    </row>
    <row r="59" spans="1:12" ht="15">
      <c r="A59" s="13"/>
      <c r="B59" s="13"/>
      <c r="C59" s="13" t="s">
        <v>317</v>
      </c>
      <c r="D59" s="13"/>
      <c r="E59" s="13"/>
      <c r="F59" s="15">
        <f>Source!AO28</f>
        <v>195.7</v>
      </c>
      <c r="G59" s="30">
        <f>Source!DG28</f>
      </c>
      <c r="H59" s="15">
        <f>ROUND((Source!CT28/IF(Source!BA28&lt;&gt;0,Source!BA28,1)*Source!I28),2)</f>
        <v>9.67</v>
      </c>
      <c r="I59" s="13"/>
      <c r="J59" s="13">
        <f>Source!BA28</f>
        <v>17.84</v>
      </c>
      <c r="K59" s="15">
        <f>Source!S28</f>
        <v>172.47</v>
      </c>
      <c r="L59" s="13"/>
    </row>
    <row r="60" spans="1:12" ht="15">
      <c r="A60" s="13"/>
      <c r="B60" s="13"/>
      <c r="C60" s="13" t="s">
        <v>93</v>
      </c>
      <c r="D60" s="13"/>
      <c r="E60" s="13"/>
      <c r="F60" s="15">
        <f>Source!AM28</f>
        <v>3365.64</v>
      </c>
      <c r="G60" s="30">
        <f>Source!DE28</f>
      </c>
      <c r="H60" s="15">
        <f>ROUND((Source!CR28/IF(Source!BB28&lt;&gt;0,Source!BB28,1)*Source!I28),2)</f>
        <v>166.26</v>
      </c>
      <c r="I60" s="13"/>
      <c r="J60" s="13">
        <f>Source!BB28</f>
        <v>6</v>
      </c>
      <c r="K60" s="15">
        <f>Source!Q28</f>
        <v>997.58</v>
      </c>
      <c r="L60" s="13"/>
    </row>
    <row r="61" spans="1:12" ht="15">
      <c r="A61" s="13"/>
      <c r="B61" s="13"/>
      <c r="C61" s="13" t="s">
        <v>318</v>
      </c>
      <c r="D61" s="13"/>
      <c r="E61" s="13"/>
      <c r="F61" s="15">
        <f>Source!AN28</f>
        <v>280.98</v>
      </c>
      <c r="G61" s="30">
        <f>Source!DF28</f>
      </c>
      <c r="H61" s="32">
        <f>ROUND((Source!CS28/IF(Source!BS28&lt;&gt;0,Source!BS28,1)*Source!I28),2)</f>
        <v>13.88</v>
      </c>
      <c r="I61" s="13"/>
      <c r="J61" s="13">
        <f>Source!BS28</f>
        <v>17.84</v>
      </c>
      <c r="K61" s="32">
        <f>Source!R28</f>
        <v>247.63</v>
      </c>
      <c r="L61" s="13"/>
    </row>
    <row r="62" spans="1:12" ht="15">
      <c r="A62" s="13"/>
      <c r="B62" s="13"/>
      <c r="C62" s="13" t="s">
        <v>319</v>
      </c>
      <c r="D62" s="13"/>
      <c r="E62" s="13"/>
      <c r="F62" s="15">
        <f>Source!AL28</f>
        <v>17.08</v>
      </c>
      <c r="G62" s="30">
        <f>Source!DD28</f>
      </c>
      <c r="H62" s="15">
        <f>ROUND((Source!CQ28/IF(Source!BC28&lt;&gt;0,Source!BC28,1)*Source!I28),2)</f>
        <v>0.84</v>
      </c>
      <c r="I62" s="13"/>
      <c r="J62" s="13">
        <f>Source!BC28</f>
        <v>4.95</v>
      </c>
      <c r="K62" s="15">
        <f>Source!P28</f>
        <v>4.18</v>
      </c>
      <c r="L62" s="13"/>
    </row>
    <row r="63" spans="1:24" ht="15">
      <c r="A63" s="13"/>
      <c r="B63" s="13"/>
      <c r="C63" s="13" t="s">
        <v>320</v>
      </c>
      <c r="D63" s="16" t="s">
        <v>321</v>
      </c>
      <c r="E63" s="13"/>
      <c r="F63" s="15">
        <f>Source!BZ28</f>
        <v>142</v>
      </c>
      <c r="G63" s="13"/>
      <c r="H63" s="15">
        <f>X63+X66</f>
        <v>33.44</v>
      </c>
      <c r="I63" s="13" t="str">
        <f>Source!FV28</f>
        <v>((*0.85))</v>
      </c>
      <c r="J63" s="15">
        <f>Source!AT28</f>
        <v>121</v>
      </c>
      <c r="K63" s="15">
        <f>Source!X28+Source!X29</f>
        <v>508.32</v>
      </c>
      <c r="L63" s="13"/>
      <c r="X63">
        <f>ROUND((Source!FX28/100)*(ROUND((Source!CT28/IF(Source!BA28&lt;&gt;0,Source!BA28,1)*Source!I28),2)+ROUND((Source!CS28/IF(Source!BS28&lt;&gt;0,Source!BS28,1)*Source!I28),2)),2)</f>
        <v>33.44</v>
      </c>
    </row>
    <row r="64" spans="1:25" ht="15">
      <c r="A64" s="13"/>
      <c r="B64" s="13"/>
      <c r="C64" s="13" t="s">
        <v>109</v>
      </c>
      <c r="D64" s="16" t="s">
        <v>321</v>
      </c>
      <c r="E64" s="13"/>
      <c r="F64" s="15">
        <f>Source!CA28</f>
        <v>95</v>
      </c>
      <c r="G64" s="13"/>
      <c r="H64" s="15">
        <f>Y64+Y66</f>
        <v>22.37</v>
      </c>
      <c r="I64" s="13" t="str">
        <f>Source!FW28</f>
        <v>((*0.8))</v>
      </c>
      <c r="J64" s="15">
        <f>Source!AU28</f>
        <v>76</v>
      </c>
      <c r="K64" s="15">
        <f>Source!Y28+Source!Y29</f>
        <v>319.28</v>
      </c>
      <c r="L64" s="13"/>
      <c r="Y64">
        <f>ROUND((Source!FY28/100)*(ROUND((Source!CT28/IF(Source!BA28&lt;&gt;0,Source!BA28,1)*Source!I28),2)+ROUND((Source!CS28/IF(Source!BS28&lt;&gt;0,Source!BS28,1)*Source!I28),2)),2)</f>
        <v>22.37</v>
      </c>
    </row>
    <row r="65" spans="1:12" ht="15">
      <c r="A65" s="13"/>
      <c r="B65" s="13"/>
      <c r="C65" s="13" t="s">
        <v>322</v>
      </c>
      <c r="D65" s="16" t="s">
        <v>323</v>
      </c>
      <c r="E65" s="13">
        <f>Source!AQ28</f>
        <v>24.19</v>
      </c>
      <c r="F65" s="13"/>
      <c r="G65" s="30">
        <f>Source!DI28</f>
      </c>
      <c r="H65" s="13"/>
      <c r="I65" s="13"/>
      <c r="J65" s="13"/>
      <c r="K65" s="13"/>
      <c r="L65" s="15">
        <f>Source!U28</f>
        <v>1.1949860000000003</v>
      </c>
    </row>
    <row r="66" spans="1:25" ht="45">
      <c r="A66" s="39"/>
      <c r="B66" s="39" t="str">
        <f>Source!F29</f>
        <v>408-0392</v>
      </c>
      <c r="C66" s="40" t="str">
        <f>Source!G29</f>
        <v>Щебень известняковый для строительных работ марки 600 фракции 10-40 мм</v>
      </c>
      <c r="D66" s="41" t="str">
        <f>Source!H29</f>
        <v>м3</v>
      </c>
      <c r="E66" s="33">
        <f>ROUND(Source!I29,6)</f>
        <v>6.2244</v>
      </c>
      <c r="F66" s="36">
        <f>IF(Source!AL29=0,Source!AK29,Source!AL29)</f>
        <v>129.1</v>
      </c>
      <c r="G66" s="35">
        <f>Source!DD29</f>
      </c>
      <c r="H66" s="42">
        <f>ROUND((Source!CR29/IF(Source!BB29&lt;&gt;0,Source!BB29,1)*Source!I29),2)+ROUND((Source!CQ29/IF(Source!BC29&lt;&gt;0,Source!BC29,1)*Source!I29),2)+ROUND((Source!CT29/IF(Source!BA29&lt;&gt;0,Source!BA29,1)*Source!I29),2)</f>
        <v>803.57</v>
      </c>
      <c r="I66" s="35" t="str">
        <f>IF(Source!BO29&lt;&gt;"",Source!BO29,"")</f>
        <v>408-0392</v>
      </c>
      <c r="J66" s="33">
        <f>Source!BC29</f>
        <v>8.85</v>
      </c>
      <c r="K66" s="36">
        <f>Source!O29</f>
        <v>7111.59</v>
      </c>
      <c r="L66" s="33"/>
      <c r="N66">
        <f>ROUND((Source!CT29/IF(Source!BA29&lt;&gt;0,Source!BA29,1)*Source!I29),2)</f>
        <v>0</v>
      </c>
      <c r="O66">
        <f>IF(Source!BI29=1,(ROUND((Source!CR29/IF(Source!BB29&lt;&gt;0,Source!BB29,1)*Source!I29),2)+ROUND((Source!CQ29/IF(Source!BC29&lt;&gt;0,Source!BC29,1)*Source!I29),2)+ROUND((Source!CT29/IF(Source!BA29&lt;&gt;0,Source!BA29,1)*Source!I29),2)),0)</f>
        <v>803.57</v>
      </c>
      <c r="P66">
        <f>IF(Source!BI29=2,(ROUND((Source!CR29/IF(Source!BB29&lt;&gt;0,Source!BB29,1)*Source!I29),2)+ROUND((Source!CQ29/IF(Source!BC29&lt;&gt;0,Source!BC29,1)*Source!I29),2)+ROUND((Source!CT29/IF(Source!BA29&lt;&gt;0,Source!BA29,1)*Source!I29),2)),0)</f>
        <v>0</v>
      </c>
      <c r="Q66">
        <f>IF(Source!BI29=3,(ROUND((Source!CR29/IF(Source!BB29&lt;&gt;0,Source!BB29,1)*Source!I29),2)+ROUND((Source!CQ29/IF(Source!BC29&lt;&gt;0,Source!BC29,1)*Source!I29),2)+ROUND((Source!CT29/IF(Source!BA29&lt;&gt;0,Source!BA29,1)*Source!I29),2)),0)</f>
        <v>0</v>
      </c>
      <c r="R66">
        <f>IF(Source!BI29=4,(ROUND((Source!CR29/IF(Source!BB29&lt;&gt;0,Source!BB29,1)*Source!I29),2)+ROUND((Source!CQ29/IF(Source!BC29&lt;&gt;0,Source!BC29,1)*Source!I29),2)+ROUND((Source!CT29/IF(Source!BA29&lt;&gt;0,Source!BA29,1)*Source!I29),2)),0)</f>
        <v>0</v>
      </c>
      <c r="S66">
        <f>IF(Source!BI29=1,Source!O29+Source!X29+Source!Y29,0)</f>
        <v>7111.59</v>
      </c>
      <c r="T66">
        <f>IF(Source!BI29=2,Source!O29+Source!X29+Source!Y29,0)</f>
        <v>0</v>
      </c>
      <c r="U66">
        <f>IF(Source!BI29=3,Source!O29+Source!X29+Source!Y29,0)</f>
        <v>0</v>
      </c>
      <c r="V66">
        <f>IF(Source!BI29=4,Source!O29+Source!X29+Source!Y29,0)</f>
        <v>0</v>
      </c>
      <c r="W66">
        <f>ROUND((Source!CS29/IF(Source!BS29&lt;&gt;0,Source!BS29,1)*Source!I29),2)</f>
        <v>0</v>
      </c>
      <c r="X66">
        <f>ROUND((Source!FX29/100)*(ROUND((Source!CT29/IF(Source!BA29&lt;&gt;0,Source!BA29,1)*Source!I29),2)+ROUND((Source!CS29/IF(Source!BS29&lt;&gt;0,Source!BS29,1)*Source!I29),2)),2)</f>
        <v>0</v>
      </c>
      <c r="Y66">
        <f>ROUND((Source!FY29/100)*(ROUND((Source!CT29/IF(Source!BA29&lt;&gt;0,Source!BA29,1)*Source!I29),2)+ROUND((Source!CS29/IF(Source!BS29&lt;&gt;0,Source!BS29,1)*Source!I29),2)),2)</f>
        <v>0</v>
      </c>
    </row>
    <row r="67" spans="1:23" ht="15.75">
      <c r="A67" s="13"/>
      <c r="B67" s="13"/>
      <c r="C67" s="13"/>
      <c r="D67" s="13"/>
      <c r="E67" s="13"/>
      <c r="F67" s="13"/>
      <c r="G67" s="13"/>
      <c r="H67" s="37">
        <f>ROUND((Source!CT28/IF(Source!BA28&lt;&gt;0,Source!BA28,1)*Source!I28),2)+ROUND((Source!CR28/IF(Source!BB28&lt;&gt;0,Source!BB28,1)*Source!I28),2)+H62+H63+H64+H66</f>
        <v>1036.15</v>
      </c>
      <c r="I67" s="38"/>
      <c r="J67" s="38"/>
      <c r="K67" s="37">
        <f>Source!S28+Source!Q28+K62+K63+K64+K66</f>
        <v>9113.42</v>
      </c>
      <c r="L67" s="37">
        <f>Source!U28</f>
        <v>1.1949860000000003</v>
      </c>
      <c r="M67" s="31">
        <f>H67</f>
        <v>1036.15</v>
      </c>
      <c r="N67">
        <f>ROUND((Source!CT28/IF(Source!BA28&lt;&gt;0,Source!BA28,1)*Source!I28),2)</f>
        <v>9.67</v>
      </c>
      <c r="O67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232.58268904000002</v>
      </c>
      <c r="P67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67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67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67">
        <f>IF(Source!BI28=1,Source!O28+Source!X28+Source!Y28,0)</f>
        <v>2001.83</v>
      </c>
      <c r="T67">
        <f>IF(Source!BI28=2,Source!O28+Source!X28+Source!Y28,0)</f>
        <v>0</v>
      </c>
      <c r="U67">
        <f>IF(Source!BI28=3,Source!O28+Source!X28+Source!Y28,0)</f>
        <v>0</v>
      </c>
      <c r="V67">
        <f>IF(Source!BI28=4,Source!O28+Source!X28+Source!Y28,0)</f>
        <v>0</v>
      </c>
      <c r="W67">
        <f>ROUND((Source!CS28/IF(Source!BS28&lt;&gt;0,Source!BS28,1)*Source!I28),2)</f>
        <v>13.88</v>
      </c>
    </row>
    <row r="68" spans="1:12" ht="90">
      <c r="A68" s="27" t="str">
        <f>Source!E30</f>
        <v>5</v>
      </c>
      <c r="B68" s="27" t="str">
        <f>Source!F30</f>
        <v>27-06-020-1</v>
      </c>
      <c r="C68" s="28" t="str">
        <f>Source!G30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68" s="29" t="str">
        <f>Source!H30</f>
        <v>1000 м2</v>
      </c>
      <c r="E68" s="13">
        <f>ROUND(Source!I30,6)</f>
        <v>0.0988</v>
      </c>
      <c r="F68" s="15">
        <f>IF(Source!AK30&lt;&gt;0,Source!AK30,Source!AL30+Source!AM30+Source!AO30)</f>
        <v>54732.409999999996</v>
      </c>
      <c r="G68" s="13"/>
      <c r="H68" s="13"/>
      <c r="I68" s="30" t="str">
        <f>IF(Source!BO30&lt;&gt;"",Source!BO30,"")</f>
        <v>27-06-020-1</v>
      </c>
      <c r="J68" s="13"/>
      <c r="K68" s="13"/>
      <c r="L68" s="13"/>
    </row>
    <row r="69" spans="1:12" ht="15">
      <c r="A69" s="13"/>
      <c r="B69" s="13"/>
      <c r="C69" s="13" t="s">
        <v>317</v>
      </c>
      <c r="D69" s="13"/>
      <c r="E69" s="13"/>
      <c r="F69" s="15">
        <f>Source!AO30</f>
        <v>368.45</v>
      </c>
      <c r="G69" s="30">
        <f>Source!DG30</f>
      </c>
      <c r="H69" s="15">
        <f>ROUND((Source!CT30/IF(Source!BA30&lt;&gt;0,Source!BA30,1)*Source!I30),2)</f>
        <v>36.4</v>
      </c>
      <c r="I69" s="13"/>
      <c r="J69" s="13">
        <f>Source!BA30</f>
        <v>17.84</v>
      </c>
      <c r="K69" s="15">
        <f>Source!S30</f>
        <v>649.43</v>
      </c>
      <c r="L69" s="13"/>
    </row>
    <row r="70" spans="1:12" ht="15">
      <c r="A70" s="13"/>
      <c r="B70" s="13"/>
      <c r="C70" s="13" t="s">
        <v>93</v>
      </c>
      <c r="D70" s="13"/>
      <c r="E70" s="13"/>
      <c r="F70" s="15">
        <f>Source!AM30</f>
        <v>2386.22</v>
      </c>
      <c r="G70" s="30">
        <f>Source!DE30</f>
      </c>
      <c r="H70" s="15">
        <f>ROUND((Source!CR30/IF(Source!BB30&lt;&gt;0,Source!BB30,1)*Source!I30),2)</f>
        <v>235.76</v>
      </c>
      <c r="I70" s="13"/>
      <c r="J70" s="13">
        <f>Source!BB30</f>
        <v>4.93</v>
      </c>
      <c r="K70" s="15">
        <f>Source!Q30</f>
        <v>1162.29</v>
      </c>
      <c r="L70" s="13"/>
    </row>
    <row r="71" spans="1:12" ht="15">
      <c r="A71" s="13"/>
      <c r="B71" s="13"/>
      <c r="C71" s="13" t="s">
        <v>318</v>
      </c>
      <c r="D71" s="13"/>
      <c r="E71" s="13"/>
      <c r="F71" s="15">
        <f>Source!AN30</f>
        <v>262.54</v>
      </c>
      <c r="G71" s="30">
        <f>Source!DF30</f>
      </c>
      <c r="H71" s="32">
        <f>ROUND((Source!CS30/IF(Source!BS30&lt;&gt;0,Source!BS30,1)*Source!I30),2)</f>
        <v>25.94</v>
      </c>
      <c r="I71" s="13"/>
      <c r="J71" s="13">
        <f>Source!BS30</f>
        <v>17.84</v>
      </c>
      <c r="K71" s="32">
        <f>Source!R30</f>
        <v>462.75</v>
      </c>
      <c r="L71" s="13"/>
    </row>
    <row r="72" spans="1:12" ht="15">
      <c r="A72" s="13"/>
      <c r="B72" s="13"/>
      <c r="C72" s="13" t="s">
        <v>319</v>
      </c>
      <c r="D72" s="13"/>
      <c r="E72" s="13"/>
      <c r="F72" s="15">
        <f>Source!AL30</f>
        <v>51977.74</v>
      </c>
      <c r="G72" s="30">
        <f>Source!DD30</f>
      </c>
      <c r="H72" s="15">
        <f>ROUND((Source!CQ30/IF(Source!BC30&lt;&gt;0,Source!BC30,1)*Source!I30),2)</f>
        <v>5135.4</v>
      </c>
      <c r="I72" s="13"/>
      <c r="J72" s="13">
        <f>Source!BC30</f>
        <v>4.74</v>
      </c>
      <c r="K72" s="15">
        <f>Source!P30</f>
        <v>24341.8</v>
      </c>
      <c r="L72" s="13"/>
    </row>
    <row r="73" spans="1:24" ht="15">
      <c r="A73" s="13"/>
      <c r="B73" s="13"/>
      <c r="C73" s="13" t="s">
        <v>320</v>
      </c>
      <c r="D73" s="16" t="s">
        <v>321</v>
      </c>
      <c r="E73" s="13"/>
      <c r="F73" s="15">
        <f>Source!BZ30</f>
        <v>142</v>
      </c>
      <c r="G73" s="13"/>
      <c r="H73" s="15">
        <f>X73</f>
        <v>88.52</v>
      </c>
      <c r="I73" s="13" t="str">
        <f>Source!FV30</f>
        <v>((*0.85))</v>
      </c>
      <c r="J73" s="15">
        <f>Source!AT30</f>
        <v>121</v>
      </c>
      <c r="K73" s="15">
        <f>Source!X30</f>
        <v>1345.74</v>
      </c>
      <c r="L73" s="13"/>
      <c r="X73">
        <f>ROUND((Source!FX30/100)*(ROUND((Source!CT30/IF(Source!BA30&lt;&gt;0,Source!BA30,1)*Source!I30),2)+ROUND((Source!CS30/IF(Source!BS30&lt;&gt;0,Source!BS30,1)*Source!I30),2)),2)</f>
        <v>88.52</v>
      </c>
    </row>
    <row r="74" spans="1:25" ht="15">
      <c r="A74" s="13"/>
      <c r="B74" s="13"/>
      <c r="C74" s="13" t="s">
        <v>109</v>
      </c>
      <c r="D74" s="16" t="s">
        <v>321</v>
      </c>
      <c r="E74" s="13"/>
      <c r="F74" s="15">
        <f>Source!CA30</f>
        <v>95</v>
      </c>
      <c r="G74" s="13"/>
      <c r="H74" s="15">
        <f>Y74</f>
        <v>59.22</v>
      </c>
      <c r="I74" s="13" t="str">
        <f>Source!FW30</f>
        <v>((*0.8))</v>
      </c>
      <c r="J74" s="15">
        <f>Source!AU30</f>
        <v>76</v>
      </c>
      <c r="K74" s="15">
        <f>Source!Y30</f>
        <v>845.26</v>
      </c>
      <c r="L74" s="13"/>
      <c r="Y74">
        <f>ROUND((Source!FY30/100)*(ROUND((Source!CT30/IF(Source!BA30&lt;&gt;0,Source!BA30,1)*Source!I30),2)+ROUND((Source!CS30/IF(Source!BS30&lt;&gt;0,Source!BS30,1)*Source!I30),2)),2)</f>
        <v>59.22</v>
      </c>
    </row>
    <row r="75" spans="1:12" ht="15">
      <c r="A75" s="33"/>
      <c r="B75" s="33"/>
      <c r="C75" s="33" t="s">
        <v>322</v>
      </c>
      <c r="D75" s="34" t="s">
        <v>323</v>
      </c>
      <c r="E75" s="33">
        <f>Source!AQ30</f>
        <v>38.3</v>
      </c>
      <c r="F75" s="33"/>
      <c r="G75" s="35">
        <f>Source!DI30</f>
      </c>
      <c r="H75" s="33"/>
      <c r="I75" s="33"/>
      <c r="J75" s="33"/>
      <c r="K75" s="33"/>
      <c r="L75" s="36">
        <f>Source!U30</f>
        <v>3.7840399999999996</v>
      </c>
    </row>
    <row r="76" spans="1:23" ht="15.75">
      <c r="A76" s="13"/>
      <c r="B76" s="13"/>
      <c r="C76" s="13"/>
      <c r="D76" s="13"/>
      <c r="E76" s="13"/>
      <c r="F76" s="13"/>
      <c r="G76" s="13"/>
      <c r="H76" s="37">
        <f>ROUND((Source!CT30/IF(Source!BA30&lt;&gt;0,Source!BA30,1)*Source!I30),2)+ROUND((Source!CR30/IF(Source!BB30&lt;&gt;0,Source!BB30,1)*Source!I30),2)+H72+H73+H74</f>
        <v>5555.3</v>
      </c>
      <c r="I76" s="38"/>
      <c r="J76" s="38"/>
      <c r="K76" s="37">
        <f>Source!S30+Source!Q30+K72+K73+K74</f>
        <v>28344.52</v>
      </c>
      <c r="L76" s="37">
        <f>Source!U30</f>
        <v>3.7840399999999996</v>
      </c>
      <c r="M76" s="31">
        <f>H76</f>
        <v>5555.3</v>
      </c>
      <c r="N76">
        <f>ROUND((Source!CT30/IF(Source!BA30&lt;&gt;0,Source!BA30,1)*Source!I30),2)</f>
        <v>36.4</v>
      </c>
      <c r="O76">
        <f>IF(Source!BI30=1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5555.31220244</v>
      </c>
      <c r="P76">
        <f>IF(Source!BI30=2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Q76">
        <f>IF(Source!BI30=3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R76">
        <f>IF(Source!BI30=4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S76">
        <f>IF(Source!BI30=1,Source!O30+Source!X30+Source!Y30,0)</f>
        <v>28344.52</v>
      </c>
      <c r="T76">
        <f>IF(Source!BI30=2,Source!O30+Source!X30+Source!Y30,0)</f>
        <v>0</v>
      </c>
      <c r="U76">
        <f>IF(Source!BI30=3,Source!O30+Source!X30+Source!Y30,0)</f>
        <v>0</v>
      </c>
      <c r="V76">
        <f>IF(Source!BI30=4,Source!O30+Source!X30+Source!Y30,0)</f>
        <v>0</v>
      </c>
      <c r="W76">
        <f>ROUND((Source!CS30/IF(Source!BS30&lt;&gt;0,Source!BS30,1)*Source!I30),2)</f>
        <v>25.94</v>
      </c>
    </row>
    <row r="77" spans="1:12" ht="60">
      <c r="A77" s="27" t="str">
        <f>Source!E31</f>
        <v>6</v>
      </c>
      <c r="B77" s="27" t="str">
        <f>Source!F31</f>
        <v>27-06-021-1</v>
      </c>
      <c r="C77" s="28" t="str">
        <f>Source!G31</f>
        <v>На каждые 0,5 см изменения толщины покрытия добавлять или исключать к расценке 27-06-020-01</v>
      </c>
      <c r="D77" s="29" t="str">
        <f>Source!H31</f>
        <v>1000 м2</v>
      </c>
      <c r="E77" s="13">
        <f>ROUND(Source!I31,6)</f>
        <v>0.0988</v>
      </c>
      <c r="F77" s="15">
        <f>IF(Source!AK31&lt;&gt;0,Source!AK31,Source!AL31+Source!AM31+Source!AO31)</f>
        <v>6485.89</v>
      </c>
      <c r="G77" s="13"/>
      <c r="H77" s="13"/>
      <c r="I77" s="30" t="str">
        <f>IF(Source!BO31&lt;&gt;"",Source!BO31,"")</f>
        <v>27-06-021-1</v>
      </c>
      <c r="J77" s="13"/>
      <c r="K77" s="13"/>
      <c r="L77" s="13"/>
    </row>
    <row r="78" spans="1:12" ht="15">
      <c r="A78" s="13"/>
      <c r="B78" s="13"/>
      <c r="C78" s="13" t="s">
        <v>317</v>
      </c>
      <c r="D78" s="13"/>
      <c r="E78" s="13"/>
      <c r="F78" s="15">
        <f>Source!AO31</f>
        <v>0.87</v>
      </c>
      <c r="G78" s="30" t="str">
        <f>Source!DG31</f>
        <v>*2</v>
      </c>
      <c r="H78" s="15">
        <f>ROUND((Source!CT31/IF(Source!BA31&lt;&gt;0,Source!BA31,1)*Source!I31),2)</f>
        <v>0.17</v>
      </c>
      <c r="I78" s="13"/>
      <c r="J78" s="13">
        <f>Source!BA31</f>
        <v>17.84</v>
      </c>
      <c r="K78" s="15">
        <f>Source!S31</f>
        <v>3.07</v>
      </c>
      <c r="L78" s="13"/>
    </row>
    <row r="79" spans="1:12" ht="15">
      <c r="A79" s="13"/>
      <c r="B79" s="13"/>
      <c r="C79" s="13" t="s">
        <v>93</v>
      </c>
      <c r="D79" s="13"/>
      <c r="E79" s="13"/>
      <c r="F79" s="15">
        <f>Source!AM31</f>
        <v>3.1</v>
      </c>
      <c r="G79" s="30" t="str">
        <f>Source!DE31</f>
        <v>*2</v>
      </c>
      <c r="H79" s="15">
        <f>ROUND((Source!CR31/IF(Source!BB31&lt;&gt;0,Source!BB31,1)*Source!I31),2)</f>
        <v>0.61</v>
      </c>
      <c r="I79" s="13"/>
      <c r="J79" s="13">
        <f>Source!BB31</f>
        <v>4.07</v>
      </c>
      <c r="K79" s="15">
        <f>Source!Q31</f>
        <v>2.49</v>
      </c>
      <c r="L79" s="13"/>
    </row>
    <row r="80" spans="1:12" ht="15">
      <c r="A80" s="13"/>
      <c r="B80" s="13"/>
      <c r="C80" s="13" t="s">
        <v>319</v>
      </c>
      <c r="D80" s="13"/>
      <c r="E80" s="13"/>
      <c r="F80" s="15">
        <f>Source!AL31</f>
        <v>6481.92</v>
      </c>
      <c r="G80" s="30" t="str">
        <f>Source!DD31</f>
        <v>*2</v>
      </c>
      <c r="H80" s="15">
        <f>ROUND((Source!CQ31/IF(Source!BC31&lt;&gt;0,Source!BC31,1)*Source!I31),2)</f>
        <v>1280.83</v>
      </c>
      <c r="I80" s="13"/>
      <c r="J80" s="13">
        <f>Source!BC31</f>
        <v>4.74</v>
      </c>
      <c r="K80" s="15">
        <f>Source!P31</f>
        <v>6071.12</v>
      </c>
      <c r="L80" s="13"/>
    </row>
    <row r="81" spans="1:24" ht="15">
      <c r="A81" s="13"/>
      <c r="B81" s="13"/>
      <c r="C81" s="13" t="s">
        <v>320</v>
      </c>
      <c r="D81" s="16" t="s">
        <v>321</v>
      </c>
      <c r="E81" s="13"/>
      <c r="F81" s="15">
        <f>Source!BZ31</f>
        <v>142</v>
      </c>
      <c r="G81" s="13"/>
      <c r="H81" s="15">
        <f>X81</f>
        <v>0.24</v>
      </c>
      <c r="I81" s="13" t="str">
        <f>Source!FV31</f>
        <v>((*0.85))</v>
      </c>
      <c r="J81" s="15">
        <f>Source!AT31</f>
        <v>121</v>
      </c>
      <c r="K81" s="15">
        <f>Source!X31</f>
        <v>3.71</v>
      </c>
      <c r="L81" s="13"/>
      <c r="X81">
        <f>ROUND((Source!FX31/100)*(ROUND((Source!CT31/IF(Source!BA31&lt;&gt;0,Source!BA31,1)*Source!I31),2)+ROUND((Source!CS31/IF(Source!BS31&lt;&gt;0,Source!BS31,1)*Source!I31),2)),2)</f>
        <v>0.24</v>
      </c>
    </row>
    <row r="82" spans="1:25" ht="15">
      <c r="A82" s="13"/>
      <c r="B82" s="13"/>
      <c r="C82" s="13" t="s">
        <v>109</v>
      </c>
      <c r="D82" s="16" t="s">
        <v>321</v>
      </c>
      <c r="E82" s="13"/>
      <c r="F82" s="15">
        <f>Source!CA31</f>
        <v>95</v>
      </c>
      <c r="G82" s="13"/>
      <c r="H82" s="15">
        <f>Y82</f>
        <v>0.16</v>
      </c>
      <c r="I82" s="13" t="str">
        <f>Source!FW31</f>
        <v>((*0.8))</v>
      </c>
      <c r="J82" s="15">
        <f>Source!AU31</f>
        <v>76</v>
      </c>
      <c r="K82" s="15">
        <f>Source!Y31</f>
        <v>2.33</v>
      </c>
      <c r="L82" s="13"/>
      <c r="Y82">
        <f>ROUND((Source!FY31/100)*(ROUND((Source!CT31/IF(Source!BA31&lt;&gt;0,Source!BA31,1)*Source!I31),2)+ROUND((Source!CS31/IF(Source!BS31&lt;&gt;0,Source!BS31,1)*Source!I31),2)),2)</f>
        <v>0.16</v>
      </c>
    </row>
    <row r="83" spans="1:12" ht="15">
      <c r="A83" s="33"/>
      <c r="B83" s="33"/>
      <c r="C83" s="33" t="s">
        <v>322</v>
      </c>
      <c r="D83" s="34" t="s">
        <v>323</v>
      </c>
      <c r="E83" s="33">
        <f>Source!AQ31</f>
        <v>0.09</v>
      </c>
      <c r="F83" s="33"/>
      <c r="G83" s="35" t="str">
        <f>Source!DI31</f>
        <v>*2</v>
      </c>
      <c r="H83" s="33"/>
      <c r="I83" s="33"/>
      <c r="J83" s="33"/>
      <c r="K83" s="33"/>
      <c r="L83" s="36">
        <f>Source!U31</f>
        <v>0.017783999999999998</v>
      </c>
    </row>
    <row r="84" spans="1:23" ht="15.75">
      <c r="A84" s="13"/>
      <c r="B84" s="13"/>
      <c r="C84" s="13"/>
      <c r="D84" s="13"/>
      <c r="E84" s="13"/>
      <c r="F84" s="13"/>
      <c r="G84" s="13"/>
      <c r="H84" s="37">
        <f>ROUND((Source!CT31/IF(Source!BA31&lt;&gt;0,Source!BA31,1)*Source!I31),2)+ROUND((Source!CR31/IF(Source!BB31&lt;&gt;0,Source!BB31,1)*Source!I31),2)+H80+H81+H82</f>
        <v>1282.01</v>
      </c>
      <c r="I84" s="38"/>
      <c r="J84" s="38"/>
      <c r="K84" s="37">
        <f>Source!S31+Source!Q31+K80+K81+K82</f>
        <v>6082.72</v>
      </c>
      <c r="L84" s="37">
        <f>Source!U31</f>
        <v>0.017783999999999998</v>
      </c>
      <c r="M84" s="31">
        <f>H84</f>
        <v>1282.01</v>
      </c>
      <c r="N84">
        <f>ROUND((Source!CT31/IF(Source!BA31&lt;&gt;0,Source!BA31,1)*Source!I31),2)</f>
        <v>0.17</v>
      </c>
      <c r="O84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1282.01929544</v>
      </c>
      <c r="P84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84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84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84">
        <f>IF(Source!BI31=1,Source!O31+Source!X31+Source!Y31,0)</f>
        <v>6082.72</v>
      </c>
      <c r="T84">
        <f>IF(Source!BI31=2,Source!O31+Source!X31+Source!Y31,0)</f>
        <v>0</v>
      </c>
      <c r="U84">
        <f>IF(Source!BI31=3,Source!O31+Source!X31+Source!Y31,0)</f>
        <v>0</v>
      </c>
      <c r="V84">
        <f>IF(Source!BI31=4,Source!O31+Source!X31+Source!Y31,0)</f>
        <v>0</v>
      </c>
      <c r="W84">
        <f>ROUND((Source!CS31/IF(Source!BS31&lt;&gt;0,Source!BS31,1)*Source!I31),2)</f>
        <v>0</v>
      </c>
    </row>
    <row r="85" spans="1:12" ht="45">
      <c r="A85" s="27" t="str">
        <f>Source!E32</f>
        <v>7</v>
      </c>
      <c r="B85" s="27" t="str">
        <f>Source!F32</f>
        <v>27-09-008-1</v>
      </c>
      <c r="C85" s="28" t="str">
        <f>Source!G32</f>
        <v>Установка дорожных знаков бесфундаментных на металлических стойках</v>
      </c>
      <c r="D85" s="29" t="str">
        <f>Source!H32</f>
        <v>100 шт.</v>
      </c>
      <c r="E85" s="13">
        <f>ROUND(Source!I32,6)</f>
        <v>0.01</v>
      </c>
      <c r="F85" s="15">
        <f>IF(Source!AK32&lt;&gt;0,Source!AK32,Source!AL32+Source!AM32+Source!AO32)</f>
        <v>7568.88</v>
      </c>
      <c r="G85" s="13"/>
      <c r="H85" s="13"/>
      <c r="I85" s="30" t="str">
        <f>IF(Source!BO32&lt;&gt;"",Source!BO32,"")</f>
        <v>27-09-008-1</v>
      </c>
      <c r="J85" s="13"/>
      <c r="K85" s="13"/>
      <c r="L85" s="13"/>
    </row>
    <row r="86" spans="1:12" ht="15">
      <c r="A86" s="13"/>
      <c r="B86" s="13"/>
      <c r="C86" s="13" t="s">
        <v>317</v>
      </c>
      <c r="D86" s="13"/>
      <c r="E86" s="13"/>
      <c r="F86" s="15">
        <f>Source!AO32</f>
        <v>3111.74</v>
      </c>
      <c r="G86" s="30">
        <f>Source!DG32</f>
      </c>
      <c r="H86" s="15">
        <f>ROUND((Source!CT32/IF(Source!BA32&lt;&gt;0,Source!BA32,1)*Source!I32),2)</f>
        <v>31.12</v>
      </c>
      <c r="I86" s="13"/>
      <c r="J86" s="13">
        <f>Source!BA32</f>
        <v>17.84</v>
      </c>
      <c r="K86" s="15">
        <f>Source!S32</f>
        <v>555.13</v>
      </c>
      <c r="L86" s="13"/>
    </row>
    <row r="87" spans="1:12" ht="15">
      <c r="A87" s="13"/>
      <c r="B87" s="13"/>
      <c r="C87" s="13" t="s">
        <v>93</v>
      </c>
      <c r="D87" s="13"/>
      <c r="E87" s="13"/>
      <c r="F87" s="15">
        <f>Source!AM32</f>
        <v>2740.25</v>
      </c>
      <c r="G87" s="30">
        <f>Source!DE32</f>
      </c>
      <c r="H87" s="15">
        <f>ROUND((Source!CR32/IF(Source!BB32&lt;&gt;0,Source!BB32,1)*Source!I32),2)</f>
        <v>27.4</v>
      </c>
      <c r="I87" s="13"/>
      <c r="J87" s="13">
        <f>Source!BB32</f>
        <v>4.5</v>
      </c>
      <c r="K87" s="15">
        <f>Source!Q32</f>
        <v>123.31</v>
      </c>
      <c r="L87" s="13"/>
    </row>
    <row r="88" spans="1:12" ht="15">
      <c r="A88" s="13"/>
      <c r="B88" s="13"/>
      <c r="C88" s="13" t="s">
        <v>318</v>
      </c>
      <c r="D88" s="13"/>
      <c r="E88" s="13"/>
      <c r="F88" s="15">
        <f>Source!AN32</f>
        <v>230.48</v>
      </c>
      <c r="G88" s="30">
        <f>Source!DF32</f>
      </c>
      <c r="H88" s="32">
        <f>ROUND((Source!CS32/IF(Source!BS32&lt;&gt;0,Source!BS32,1)*Source!I32),2)</f>
        <v>2.3</v>
      </c>
      <c r="I88" s="13"/>
      <c r="J88" s="13">
        <f>Source!BS32</f>
        <v>17.84</v>
      </c>
      <c r="K88" s="32">
        <f>Source!R32</f>
        <v>41.12</v>
      </c>
      <c r="L88" s="13"/>
    </row>
    <row r="89" spans="1:12" ht="15">
      <c r="A89" s="13"/>
      <c r="B89" s="13"/>
      <c r="C89" s="13" t="s">
        <v>319</v>
      </c>
      <c r="D89" s="13"/>
      <c r="E89" s="13"/>
      <c r="F89" s="15">
        <f>Source!AL32</f>
        <v>1716.89</v>
      </c>
      <c r="G89" s="30">
        <f>Source!DD32</f>
      </c>
      <c r="H89" s="15">
        <f>ROUND((Source!CQ32/IF(Source!BC32&lt;&gt;0,Source!BC32,1)*Source!I32),2)</f>
        <v>17.17</v>
      </c>
      <c r="I89" s="13"/>
      <c r="J89" s="13">
        <f>Source!BC32</f>
        <v>2.91</v>
      </c>
      <c r="K89" s="15">
        <f>Source!P32</f>
        <v>49.96</v>
      </c>
      <c r="L89" s="13"/>
    </row>
    <row r="90" spans="1:24" ht="15">
      <c r="A90" s="13"/>
      <c r="B90" s="13"/>
      <c r="C90" s="13" t="s">
        <v>320</v>
      </c>
      <c r="D90" s="16" t="s">
        <v>321</v>
      </c>
      <c r="E90" s="13"/>
      <c r="F90" s="15">
        <f>Source!BZ32</f>
        <v>142</v>
      </c>
      <c r="G90" s="13"/>
      <c r="H90" s="15">
        <f>X90</f>
        <v>47.46</v>
      </c>
      <c r="I90" s="13" t="str">
        <f>Source!FV32</f>
        <v>((*0.85))</v>
      </c>
      <c r="J90" s="15">
        <f>Source!AT32</f>
        <v>121</v>
      </c>
      <c r="K90" s="15">
        <f>Source!X32</f>
        <v>721.46</v>
      </c>
      <c r="L90" s="13"/>
      <c r="X90">
        <f>ROUND((Source!FX32/100)*(ROUND((Source!CT32/IF(Source!BA32&lt;&gt;0,Source!BA32,1)*Source!I32),2)+ROUND((Source!CS32/IF(Source!BS32&lt;&gt;0,Source!BS32,1)*Source!I32),2)),2)</f>
        <v>47.46</v>
      </c>
    </row>
    <row r="91" spans="1:25" ht="15">
      <c r="A91" s="13"/>
      <c r="B91" s="13"/>
      <c r="C91" s="13" t="s">
        <v>109</v>
      </c>
      <c r="D91" s="16" t="s">
        <v>321</v>
      </c>
      <c r="E91" s="13"/>
      <c r="F91" s="15">
        <f>Source!CA32</f>
        <v>95</v>
      </c>
      <c r="G91" s="13"/>
      <c r="H91" s="15">
        <f>Y91</f>
        <v>31.75</v>
      </c>
      <c r="I91" s="13" t="str">
        <f>Source!FW32</f>
        <v>((*0.8))</v>
      </c>
      <c r="J91" s="15">
        <f>Source!AU32</f>
        <v>76</v>
      </c>
      <c r="K91" s="15">
        <f>Source!Y32</f>
        <v>453.15</v>
      </c>
      <c r="L91" s="13"/>
      <c r="Y91">
        <f>ROUND((Source!FY32/100)*(ROUND((Source!CT32/IF(Source!BA32&lt;&gt;0,Source!BA32,1)*Source!I32),2)+ROUND((Source!CS32/IF(Source!BS32&lt;&gt;0,Source!BS32,1)*Source!I32),2)),2)</f>
        <v>31.75</v>
      </c>
    </row>
    <row r="92" spans="1:12" ht="15">
      <c r="A92" s="33"/>
      <c r="B92" s="33"/>
      <c r="C92" s="33" t="s">
        <v>322</v>
      </c>
      <c r="D92" s="34" t="s">
        <v>323</v>
      </c>
      <c r="E92" s="33">
        <f>Source!AQ32</f>
        <v>364.8</v>
      </c>
      <c r="F92" s="33"/>
      <c r="G92" s="35">
        <f>Source!DI32</f>
      </c>
      <c r="H92" s="33"/>
      <c r="I92" s="33"/>
      <c r="J92" s="33"/>
      <c r="K92" s="33"/>
      <c r="L92" s="36">
        <f>Source!U32</f>
        <v>3.648</v>
      </c>
    </row>
    <row r="93" spans="1:23" ht="15.75">
      <c r="A93" s="13"/>
      <c r="B93" s="13"/>
      <c r="C93" s="13"/>
      <c r="D93" s="13"/>
      <c r="E93" s="13"/>
      <c r="F93" s="13"/>
      <c r="G93" s="13"/>
      <c r="H93" s="37">
        <f>ROUND((Source!CT32/IF(Source!BA32&lt;&gt;0,Source!BA32,1)*Source!I32),2)+ROUND((Source!CR32/IF(Source!BB32&lt;&gt;0,Source!BB32,1)*Source!I32),2)+H89+H90+H91</f>
        <v>154.9</v>
      </c>
      <c r="I93" s="38"/>
      <c r="J93" s="38"/>
      <c r="K93" s="37">
        <f>Source!S32+Source!Q32+K89+K90+K91</f>
        <v>1903.0100000000002</v>
      </c>
      <c r="L93" s="37">
        <f>Source!U32</f>
        <v>3.648</v>
      </c>
      <c r="M93" s="31">
        <f>H93</f>
        <v>154.9</v>
      </c>
      <c r="N93">
        <f>ROUND((Source!CT32/IF(Source!BA32&lt;&gt;0,Source!BA32,1)*Source!I32),2)</f>
        <v>31.12</v>
      </c>
      <c r="O93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154.899414</v>
      </c>
      <c r="P93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93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93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S93">
        <f>IF(Source!BI32=1,Source!O32+Source!X32+Source!Y32,0)</f>
        <v>1903.0100000000002</v>
      </c>
      <c r="T93">
        <f>IF(Source!BI32=2,Source!O32+Source!X32+Source!Y32,0)</f>
        <v>0</v>
      </c>
      <c r="U93">
        <f>IF(Source!BI32=3,Source!O32+Source!X32+Source!Y32,0)</f>
        <v>0</v>
      </c>
      <c r="V93">
        <f>IF(Source!BI32=4,Source!O32+Source!X32+Source!Y32,0)</f>
        <v>0</v>
      </c>
      <c r="W93">
        <f>ROUND((Source!CS32/IF(Source!BS32&lt;&gt;0,Source!BS32,1)*Source!I32),2)</f>
        <v>2.3</v>
      </c>
    </row>
    <row r="94" spans="1:12" ht="60">
      <c r="A94" s="27" t="str">
        <f>Source!E33</f>
        <v>8</v>
      </c>
      <c r="B94" s="27" t="str">
        <f>Source!F33</f>
        <v>110-0243</v>
      </c>
      <c r="C94" s="28" t="str">
        <f>Source!G33</f>
        <v>Стойки металлические под дорожные знаки из круглых труб и гнутосварных профилей, массой до 0,01 т</v>
      </c>
      <c r="D94" s="29" t="str">
        <f>Source!H33</f>
        <v>т</v>
      </c>
      <c r="E94" s="13">
        <f>ROUND(Source!I33,6)</f>
        <v>0.03</v>
      </c>
      <c r="F94" s="15">
        <f>IF(Source!AK33&lt;&gt;0,Source!AK33,Source!AL33+Source!AM33+Source!AO33)</f>
        <v>11150.43</v>
      </c>
      <c r="G94" s="13"/>
      <c r="H94" s="13"/>
      <c r="I94" s="30" t="str">
        <f>IF(Source!BO33&lt;&gt;"",Source!BO33,"")</f>
        <v>110-0243</v>
      </c>
      <c r="J94" s="13"/>
      <c r="K94" s="13"/>
      <c r="L94" s="13"/>
    </row>
    <row r="95" spans="1:12" ht="15">
      <c r="A95" s="33"/>
      <c r="B95" s="33"/>
      <c r="C95" s="33" t="s">
        <v>319</v>
      </c>
      <c r="D95" s="33"/>
      <c r="E95" s="33"/>
      <c r="F95" s="36">
        <f>Source!AL33</f>
        <v>11150.43</v>
      </c>
      <c r="G95" s="35">
        <f>Source!DD33</f>
      </c>
      <c r="H95" s="36">
        <f>ROUND((Source!CQ33/IF(Source!BC33&lt;&gt;0,Source!BC33,1)*Source!I33),2)</f>
        <v>334.51</v>
      </c>
      <c r="I95" s="33"/>
      <c r="J95" s="33">
        <f>Source!BC33</f>
        <v>2.7</v>
      </c>
      <c r="K95" s="36">
        <f>Source!P33</f>
        <v>903.18</v>
      </c>
      <c r="L95" s="33"/>
    </row>
    <row r="96" spans="1:23" ht="15.75">
      <c r="A96" s="13"/>
      <c r="B96" s="13"/>
      <c r="C96" s="13"/>
      <c r="D96" s="13"/>
      <c r="E96" s="13"/>
      <c r="F96" s="13"/>
      <c r="G96" s="13"/>
      <c r="H96" s="37">
        <f>ROUND((Source!CT33/IF(Source!BA33&lt;&gt;0,Source!BA33,1)*Source!I33),2)+ROUND((Source!CR33/IF(Source!BB33&lt;&gt;0,Source!BB33,1)*Source!I33),2)+H95</f>
        <v>334.51</v>
      </c>
      <c r="I96" s="38"/>
      <c r="J96" s="38"/>
      <c r="K96" s="37">
        <f>Source!S33+Source!Q33+K95</f>
        <v>903.18</v>
      </c>
      <c r="L96" s="37">
        <f>Source!U33</f>
        <v>0</v>
      </c>
      <c r="M96" s="31">
        <f>H96</f>
        <v>334.51</v>
      </c>
      <c r="N96">
        <f>ROUND((Source!CT33/IF(Source!BA33&lt;&gt;0,Source!BA33,1)*Source!I33),2)</f>
        <v>0</v>
      </c>
      <c r="O96">
        <f>IF(Source!BI33=1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334.5129</v>
      </c>
      <c r="P96">
        <f>IF(Source!BI33=2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Q96">
        <f>IF(Source!BI33=3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R96">
        <f>IF(Source!BI33=4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S96">
        <f>IF(Source!BI33=1,Source!O33+Source!X33+Source!Y33,0)</f>
        <v>903.18</v>
      </c>
      <c r="T96">
        <f>IF(Source!BI33=2,Source!O33+Source!X33+Source!Y33,0)</f>
        <v>0</v>
      </c>
      <c r="U96">
        <f>IF(Source!BI33=3,Source!O33+Source!X33+Source!Y33,0)</f>
        <v>0</v>
      </c>
      <c r="V96">
        <f>IF(Source!BI33=4,Source!O33+Source!X33+Source!Y33,0)</f>
        <v>0</v>
      </c>
      <c r="W96">
        <f>ROUND((Source!CS33/IF(Source!BS33&lt;&gt;0,Source!BS33,1)*Source!I33),2)</f>
        <v>0</v>
      </c>
    </row>
    <row r="97" spans="1:12" ht="90">
      <c r="A97" s="27" t="str">
        <f>Source!E34</f>
        <v>9</v>
      </c>
      <c r="B97" s="27" t="str">
        <f>Source!F34</f>
        <v>101-4309</v>
      </c>
      <c r="C97" s="28" t="str">
        <f>Source!G34</f>
        <v>Знаки дорожные на оцинкованной подоснове со световозвращающей пленкой дополнительной информации, размером 350х700 мм, тип 8.1.1, 8.1.3-8.12, 8.14-8.21.3</v>
      </c>
      <c r="D97" s="29" t="str">
        <f>Source!H34</f>
        <v>шт.</v>
      </c>
      <c r="E97" s="13">
        <f>ROUND(Source!I34,6)</f>
        <v>1</v>
      </c>
      <c r="F97" s="15">
        <f>IF(Source!AK34&lt;&gt;0,Source!AK34,Source!AL34+Source!AM34+Source!AO34)</f>
        <v>313.1</v>
      </c>
      <c r="G97" s="13"/>
      <c r="H97" s="13"/>
      <c r="I97" s="30" t="str">
        <f>IF(Source!BO34&lt;&gt;"",Source!BO34,"")</f>
        <v>101-4309</v>
      </c>
      <c r="J97" s="13"/>
      <c r="K97" s="13"/>
      <c r="L97" s="13"/>
    </row>
    <row r="98" spans="1:12" ht="15">
      <c r="A98" s="33"/>
      <c r="B98" s="33"/>
      <c r="C98" s="33" t="s">
        <v>319</v>
      </c>
      <c r="D98" s="33"/>
      <c r="E98" s="33"/>
      <c r="F98" s="36">
        <f>Source!AL34</f>
        <v>313.1</v>
      </c>
      <c r="G98" s="35">
        <f>Source!DD34</f>
      </c>
      <c r="H98" s="36">
        <f>ROUND((Source!CQ34/IF(Source!BC34&lt;&gt;0,Source!BC34,1)*Source!I34),2)</f>
        <v>313.1</v>
      </c>
      <c r="I98" s="33"/>
      <c r="J98" s="33">
        <f>Source!BC34</f>
        <v>2.15</v>
      </c>
      <c r="K98" s="36">
        <f>Source!P34</f>
        <v>673.17</v>
      </c>
      <c r="L98" s="33"/>
    </row>
    <row r="99" spans="1:23" ht="15.75">
      <c r="A99" s="13"/>
      <c r="B99" s="13"/>
      <c r="C99" s="13"/>
      <c r="D99" s="13"/>
      <c r="E99" s="13"/>
      <c r="F99" s="13"/>
      <c r="G99" s="13"/>
      <c r="H99" s="37">
        <f>ROUND((Source!CT34/IF(Source!BA34&lt;&gt;0,Source!BA34,1)*Source!I34),2)+ROUND((Source!CR34/IF(Source!BB34&lt;&gt;0,Source!BB34,1)*Source!I34),2)+H98</f>
        <v>313.1</v>
      </c>
      <c r="I99" s="38"/>
      <c r="J99" s="38"/>
      <c r="K99" s="37">
        <f>Source!S34+Source!Q34+K98</f>
        <v>673.17</v>
      </c>
      <c r="L99" s="37">
        <f>Source!U34</f>
        <v>0</v>
      </c>
      <c r="M99" s="31">
        <f>H99</f>
        <v>313.1</v>
      </c>
      <c r="N99">
        <f>ROUND((Source!CT34/IF(Source!BA34&lt;&gt;0,Source!BA34,1)*Source!I34),2)</f>
        <v>0</v>
      </c>
      <c r="O99">
        <f>IF(Source!BI34=1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313.1</v>
      </c>
      <c r="P99">
        <f>IF(Source!BI34=2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Q99">
        <f>IF(Source!BI34=3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R99">
        <f>IF(Source!BI34=4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S99">
        <f>IF(Source!BI34=1,Source!O34+Source!X34+Source!Y34,0)</f>
        <v>673.17</v>
      </c>
      <c r="T99">
        <f>IF(Source!BI34=2,Source!O34+Source!X34+Source!Y34,0)</f>
        <v>0</v>
      </c>
      <c r="U99">
        <f>IF(Source!BI34=3,Source!O34+Source!X34+Source!Y34,0)</f>
        <v>0</v>
      </c>
      <c r="V99">
        <f>IF(Source!BI34=4,Source!O34+Source!X34+Source!Y34,0)</f>
        <v>0</v>
      </c>
      <c r="W99">
        <f>ROUND((Source!CS34/IF(Source!BS34&lt;&gt;0,Source!BS34,1)*Source!I34),2)</f>
        <v>0</v>
      </c>
    </row>
    <row r="101" spans="3:23" s="38" customFormat="1" ht="15.75">
      <c r="C101" s="38" t="s">
        <v>111</v>
      </c>
      <c r="G101" s="106">
        <f>SUM(M33:M100)</f>
        <v>20867.069999999996</v>
      </c>
      <c r="H101" s="106"/>
      <c r="J101" s="106">
        <f>ROUND(Source!AB22+Source!AK22+Source!AL22+Source!AE22*0/100,2)</f>
        <v>147335.71</v>
      </c>
      <c r="K101" s="106"/>
      <c r="L101" s="37">
        <f>Source!AH22</f>
        <v>140.26</v>
      </c>
      <c r="N101" s="37">
        <f aca="true" t="shared" si="0" ref="N101:W101">SUM(N33:N100)</f>
        <v>1170.6200000000001</v>
      </c>
      <c r="O101" s="37">
        <f t="shared" si="0"/>
        <v>20867.05564312</v>
      </c>
      <c r="P101" s="37">
        <f t="shared" si="0"/>
        <v>0</v>
      </c>
      <c r="Q101" s="37">
        <f t="shared" si="0"/>
        <v>0</v>
      </c>
      <c r="R101" s="37">
        <f t="shared" si="0"/>
        <v>0</v>
      </c>
      <c r="S101" s="37">
        <f t="shared" si="0"/>
        <v>147335.71</v>
      </c>
      <c r="T101" s="37">
        <f t="shared" si="0"/>
        <v>0</v>
      </c>
      <c r="U101" s="37">
        <f t="shared" si="0"/>
        <v>0</v>
      </c>
      <c r="V101" s="37">
        <f t="shared" si="0"/>
        <v>0</v>
      </c>
      <c r="W101" s="38">
        <f t="shared" si="0"/>
        <v>141.25</v>
      </c>
    </row>
    <row r="104" spans="3:12" s="43" customFormat="1" ht="18" hidden="1">
      <c r="C104" s="43" t="s">
        <v>324</v>
      </c>
      <c r="G104" s="97">
        <f>G101</f>
        <v>20867.069999999996</v>
      </c>
      <c r="H104" s="97"/>
      <c r="J104" s="97">
        <f>ROUND(Source!O36+Source!X36+Source!Y36+Source!R36*0/100,2)</f>
        <v>147335.71</v>
      </c>
      <c r="K104" s="97"/>
      <c r="L104" s="44">
        <f>Source!U36</f>
        <v>140.26</v>
      </c>
    </row>
    <row r="106" spans="3:11" ht="18">
      <c r="C106" s="43" t="s">
        <v>325</v>
      </c>
      <c r="D106" s="98" t="str">
        <f>Source!G52</f>
        <v>Б130 1 Мая дом24 и Трудовые резервы дом 10</v>
      </c>
      <c r="E106" s="98"/>
      <c r="F106" s="98"/>
      <c r="G106" s="98"/>
      <c r="H106" s="98"/>
      <c r="I106" s="98"/>
      <c r="J106" s="98"/>
      <c r="K106" s="98"/>
    </row>
    <row r="107" spans="3:12" ht="18">
      <c r="C107" s="99" t="str">
        <f>Source!H67</f>
        <v>Итого</v>
      </c>
      <c r="D107" s="99"/>
      <c r="E107" s="99"/>
      <c r="F107" s="99"/>
      <c r="G107" s="99"/>
      <c r="H107" s="99"/>
      <c r="I107" s="99"/>
      <c r="J107" s="100">
        <f>Source!F67</f>
        <v>147335.71</v>
      </c>
      <c r="K107" s="101"/>
      <c r="L107" s="45"/>
    </row>
    <row r="108" spans="3:12" ht="18">
      <c r="C108" s="99" t="str">
        <f>Source!H68</f>
        <v>НДС 18%</v>
      </c>
      <c r="D108" s="99"/>
      <c r="E108" s="99"/>
      <c r="F108" s="99"/>
      <c r="G108" s="99"/>
      <c r="H108" s="99"/>
      <c r="I108" s="99"/>
      <c r="J108" s="100">
        <f>Source!F68</f>
        <v>26520.43</v>
      </c>
      <c r="K108" s="101"/>
      <c r="L108" s="45"/>
    </row>
    <row r="109" spans="3:12" ht="18">
      <c r="C109" s="99" t="str">
        <f>Source!H69</f>
        <v>ВСЕГО</v>
      </c>
      <c r="D109" s="99"/>
      <c r="E109" s="99"/>
      <c r="F109" s="99"/>
      <c r="G109" s="99"/>
      <c r="H109" s="99"/>
      <c r="I109" s="99"/>
      <c r="J109" s="100">
        <f>Source!F69</f>
        <v>173856.14</v>
      </c>
      <c r="K109" s="101"/>
      <c r="L109" s="45"/>
    </row>
    <row r="111" spans="3:12" s="43" customFormat="1" ht="18" hidden="1">
      <c r="C111" s="43" t="s">
        <v>325</v>
      </c>
      <c r="G111" s="97">
        <f>SUM(M1:M111)</f>
        <v>20867.069999999996</v>
      </c>
      <c r="H111" s="97"/>
      <c r="J111" s="97">
        <f>ROUND(Source!O18+Source!X18+Source!Y18+Source!R18*0/100,2)</f>
        <v>147335.71</v>
      </c>
      <c r="K111" s="97"/>
      <c r="L111" s="44">
        <f>Source!U18</f>
        <v>140.26</v>
      </c>
    </row>
    <row r="112" spans="1:8" ht="12.75">
      <c r="A112" t="s">
        <v>353</v>
      </c>
      <c r="C112" s="48" t="str">
        <f>IF(Source!AS12&lt;&gt;"",Source!AS12," ")</f>
        <v> </v>
      </c>
      <c r="D112" s="48"/>
      <c r="E112" s="48"/>
      <c r="F112" s="48"/>
      <c r="G112" s="48"/>
      <c r="H112" t="str">
        <f>IF(Source!M12&lt;&gt;"",Source!M12," ")</f>
        <v> </v>
      </c>
    </row>
    <row r="113" spans="3:7" s="5" customFormat="1" ht="11.25">
      <c r="C113" s="107" t="s">
        <v>327</v>
      </c>
      <c r="D113" s="107"/>
      <c r="E113" s="107"/>
      <c r="F113" s="107"/>
      <c r="G113" s="107"/>
    </row>
    <row r="115" spans="1:8" ht="12.75">
      <c r="A115" t="s">
        <v>354</v>
      </c>
      <c r="C115" s="48" t="str">
        <f>IF(Source!AR12&lt;&gt;"",Source!AR12," ")</f>
        <v> </v>
      </c>
      <c r="D115" s="48"/>
      <c r="E115" s="48"/>
      <c r="F115" s="48"/>
      <c r="G115" s="48"/>
      <c r="H115" t="str">
        <f>IF(Source!L12&lt;&gt;"",Source!L12," ")</f>
        <v> </v>
      </c>
    </row>
    <row r="116" spans="3:7" s="5" customFormat="1" ht="11.25">
      <c r="C116" s="107" t="s">
        <v>327</v>
      </c>
      <c r="D116" s="107"/>
      <c r="E116" s="107"/>
      <c r="F116" s="107"/>
      <c r="G116" s="107"/>
    </row>
  </sheetData>
  <sheetProtection/>
  <mergeCells count="49">
    <mergeCell ref="C108:I108"/>
    <mergeCell ref="J108:K108"/>
    <mergeCell ref="C109:I109"/>
    <mergeCell ref="J109:K109"/>
    <mergeCell ref="J111:K111"/>
    <mergeCell ref="G111:H111"/>
    <mergeCell ref="C113:G113"/>
    <mergeCell ref="C116:G116"/>
    <mergeCell ref="A22:L22"/>
    <mergeCell ref="A24:I24"/>
    <mergeCell ref="D31:L31"/>
    <mergeCell ref="J101:K101"/>
    <mergeCell ref="G101:H101"/>
    <mergeCell ref="J104:K104"/>
    <mergeCell ref="G104:H104"/>
    <mergeCell ref="D106:K106"/>
    <mergeCell ref="C107:I107"/>
    <mergeCell ref="J107:K107"/>
    <mergeCell ref="K14:L14"/>
    <mergeCell ref="F17:G18"/>
    <mergeCell ref="F19:G19"/>
    <mergeCell ref="H17:I18"/>
    <mergeCell ref="H19:I19"/>
    <mergeCell ref="K17:L17"/>
    <mergeCell ref="F12:I12"/>
    <mergeCell ref="K12:L12"/>
    <mergeCell ref="F13:I13"/>
    <mergeCell ref="K13:L13"/>
    <mergeCell ref="A10:B10"/>
    <mergeCell ref="C10:I10"/>
    <mergeCell ref="K10:L10"/>
    <mergeCell ref="A11:B11"/>
    <mergeCell ref="C11:I11"/>
    <mergeCell ref="K11:L11"/>
    <mergeCell ref="A8:B8"/>
    <mergeCell ref="C8:I8"/>
    <mergeCell ref="K8:L8"/>
    <mergeCell ref="A9:B9"/>
    <mergeCell ref="C9:I9"/>
    <mergeCell ref="K9:L9"/>
    <mergeCell ref="K5:L5"/>
    <mergeCell ref="K6:L6"/>
    <mergeCell ref="A7:B7"/>
    <mergeCell ref="C7:I7"/>
    <mergeCell ref="K7:L7"/>
    <mergeCell ref="A1:D1"/>
    <mergeCell ref="H1:L1"/>
    <mergeCell ref="H2:L2"/>
    <mergeCell ref="H3:L3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0"/>
  <sheetViews>
    <sheetView tabSelected="1" zoomScale="122" zoomScaleNormal="122" zoomScalePageLayoutView="0" workbookViewId="0" topLeftCell="A1">
      <selection activeCell="B19" sqref="B19:L19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1.7109375" style="0" customWidth="1"/>
    <col min="7" max="8" width="11.28125" style="0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86.28125" style="0" hidden="1" customWidth="1"/>
    <col min="31" max="31" width="0" style="0" hidden="1" customWidth="1"/>
  </cols>
  <sheetData>
    <row r="1" s="5" customFormat="1" ht="11.25"/>
    <row r="3" spans="1:9" s="6" customFormat="1" ht="15">
      <c r="A3" s="6" t="s">
        <v>267</v>
      </c>
      <c r="F3" s="121" t="s">
        <v>268</v>
      </c>
      <c r="G3" s="121"/>
      <c r="H3" s="121"/>
      <c r="I3" s="121"/>
    </row>
    <row r="5" spans="1:11" ht="12.75">
      <c r="A5" s="122">
        <f>Source!AS12</f>
      </c>
      <c r="B5" s="122"/>
      <c r="C5" s="122">
        <f>Source!CH12</f>
      </c>
      <c r="D5" s="122"/>
      <c r="E5" s="7"/>
      <c r="F5" s="122">
        <f>Source!AR12</f>
      </c>
      <c r="G5" s="122"/>
      <c r="H5" s="122"/>
      <c r="I5" s="122">
        <f>Source!CG12</f>
      </c>
      <c r="J5" s="122"/>
      <c r="K5" s="12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122">
        <f>Source!M12</f>
      </c>
      <c r="D7" s="122"/>
      <c r="E7" s="7"/>
      <c r="F7" s="8"/>
      <c r="G7" s="8"/>
      <c r="H7" s="122">
        <f>Source!L12</f>
      </c>
      <c r="I7" s="122"/>
      <c r="J7" s="122"/>
      <c r="K7" s="122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269</v>
      </c>
      <c r="F9" s="6" t="s">
        <v>269</v>
      </c>
    </row>
    <row r="11" spans="1:30" ht="20.25">
      <c r="A11" s="119" t="str">
        <f>IF(Source!G4&lt;&gt;"",Source!G4,IF(Source!F4&lt;&gt;"",Source!F4,IF(Source!G5&lt;&gt;"",Source!G5,IF(Source!F5&lt;&gt;"",Source!F5,IF(Source!G6&lt;&gt;"",Source!G6,IF(Source!F6&lt;&gt;"",Source!F6," "))))))</f>
        <v> 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AD11" s="9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2" ht="12.75">
      <c r="A12" s="115" t="s">
        <v>270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5" spans="1:30" ht="20.25">
      <c r="A15" s="120" t="s">
        <v>271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AD15" s="11" t="s">
        <v>271</v>
      </c>
    </row>
    <row r="18" spans="1:30" ht="18.75">
      <c r="A18" s="4" t="s">
        <v>272</v>
      </c>
      <c r="B18" s="123" t="s">
        <v>366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AD18" s="12" t="str">
        <f>IF(Source!G12&lt;&gt;"",Source!G12,Source!F12)</f>
        <v>Б130 1 Мая дом24 и Трудовые резервы дом 10</v>
      </c>
    </row>
    <row r="19" spans="2:12" ht="12.75">
      <c r="B19" s="115" t="s">
        <v>273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1" spans="1:30" ht="15">
      <c r="A21" s="117" t="str">
        <f>CONCATENATE("Основание: ",Source!J12)</f>
        <v>Основание: 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AD21" s="10" t="str">
        <f>CONCATENATE("Основание: ",Source!J12)</f>
        <v>Основание: </v>
      </c>
    </row>
    <row r="23" spans="5:10" ht="12.75">
      <c r="E23" s="4"/>
      <c r="F23" s="4"/>
      <c r="G23" s="4"/>
      <c r="H23" s="4"/>
      <c r="I23" s="4"/>
      <c r="J23" s="4"/>
    </row>
    <row r="24" spans="5:10" ht="12.75">
      <c r="E24" s="14"/>
      <c r="F24" s="14"/>
      <c r="G24" s="118" t="s">
        <v>274</v>
      </c>
      <c r="H24" s="118"/>
      <c r="I24" s="118" t="s">
        <v>275</v>
      </c>
      <c r="J24" s="118"/>
    </row>
    <row r="25" spans="3:12" ht="15.75">
      <c r="C25" s="112" t="s">
        <v>276</v>
      </c>
      <c r="D25" s="112"/>
      <c r="E25" s="112"/>
      <c r="F25" s="112"/>
      <c r="G25" s="113">
        <f>G115/1000</f>
        <v>20.867069999999995</v>
      </c>
      <c r="H25" s="113"/>
      <c r="I25" s="113">
        <f>(Source!F69/1000)</f>
        <v>173.85614</v>
      </c>
      <c r="J25" s="113"/>
      <c r="K25" s="114" t="s">
        <v>277</v>
      </c>
      <c r="L25" s="114"/>
    </row>
    <row r="26" spans="3:12" ht="15.75">
      <c r="C26" s="112" t="s">
        <v>278</v>
      </c>
      <c r="D26" s="112"/>
      <c r="E26" s="112"/>
      <c r="F26" s="112"/>
      <c r="G26" s="113">
        <f>(Source!F62)</f>
        <v>140.26</v>
      </c>
      <c r="H26" s="113"/>
      <c r="I26" s="113">
        <f>(Source!F62)</f>
        <v>140.26</v>
      </c>
      <c r="J26" s="113"/>
      <c r="K26" s="114" t="s">
        <v>162</v>
      </c>
      <c r="L26" s="114"/>
    </row>
    <row r="27" spans="3:12" ht="15.75">
      <c r="C27" s="112" t="s">
        <v>279</v>
      </c>
      <c r="D27" s="112"/>
      <c r="E27" s="112"/>
      <c r="F27" s="112"/>
      <c r="G27" s="113">
        <f>(N115+W115)/1000</f>
        <v>1.31187</v>
      </c>
      <c r="H27" s="113"/>
      <c r="I27" s="113">
        <f>((Source!F60+Source!F59)/1000)</f>
        <v>23.40368</v>
      </c>
      <c r="J27" s="113"/>
      <c r="K27" s="114" t="s">
        <v>277</v>
      </c>
      <c r="L27" s="114"/>
    </row>
    <row r="29" spans="1:6" ht="12.75">
      <c r="A29" s="111" t="s">
        <v>280</v>
      </c>
      <c r="B29" s="111"/>
      <c r="C29" s="111"/>
      <c r="D29" s="4"/>
      <c r="E29" s="4"/>
      <c r="F29" s="4"/>
    </row>
    <row r="30" spans="1:12" ht="15">
      <c r="A30" s="17"/>
      <c r="B30" s="17"/>
      <c r="C30" s="17"/>
      <c r="D30" s="17"/>
      <c r="E30" s="17"/>
      <c r="F30" s="18" t="s">
        <v>293</v>
      </c>
      <c r="G30" s="18" t="s">
        <v>297</v>
      </c>
      <c r="H30" s="18" t="s">
        <v>301</v>
      </c>
      <c r="I30" s="18" t="s">
        <v>305</v>
      </c>
      <c r="J30" s="18" t="s">
        <v>309</v>
      </c>
      <c r="K30" s="18" t="s">
        <v>301</v>
      </c>
      <c r="L30" s="19" t="s">
        <v>313</v>
      </c>
    </row>
    <row r="31" spans="1:12" ht="15">
      <c r="A31" s="20" t="s">
        <v>281</v>
      </c>
      <c r="B31" s="20" t="s">
        <v>283</v>
      </c>
      <c r="C31" s="21"/>
      <c r="D31" s="20" t="s">
        <v>288</v>
      </c>
      <c r="E31" s="20" t="s">
        <v>291</v>
      </c>
      <c r="F31" s="20" t="s">
        <v>294</v>
      </c>
      <c r="G31" s="20" t="s">
        <v>298</v>
      </c>
      <c r="H31" s="20" t="s">
        <v>302</v>
      </c>
      <c r="I31" s="20" t="s">
        <v>306</v>
      </c>
      <c r="J31" s="20" t="s">
        <v>300</v>
      </c>
      <c r="K31" s="20" t="s">
        <v>310</v>
      </c>
      <c r="L31" s="22" t="s">
        <v>314</v>
      </c>
    </row>
    <row r="32" spans="1:12" ht="15">
      <c r="A32" s="20" t="s">
        <v>282</v>
      </c>
      <c r="B32" s="20" t="s">
        <v>284</v>
      </c>
      <c r="C32" s="20" t="s">
        <v>287</v>
      </c>
      <c r="D32" s="20" t="s">
        <v>289</v>
      </c>
      <c r="E32" s="20" t="s">
        <v>292</v>
      </c>
      <c r="F32" s="20" t="s">
        <v>295</v>
      </c>
      <c r="G32" s="20" t="s">
        <v>299</v>
      </c>
      <c r="H32" s="20" t="s">
        <v>303</v>
      </c>
      <c r="I32" s="20" t="s">
        <v>307</v>
      </c>
      <c r="J32" s="20" t="s">
        <v>307</v>
      </c>
      <c r="K32" s="20" t="s">
        <v>311</v>
      </c>
      <c r="L32" s="22" t="s">
        <v>315</v>
      </c>
    </row>
    <row r="33" spans="1:12" ht="15">
      <c r="A33" s="21"/>
      <c r="B33" s="20" t="s">
        <v>285</v>
      </c>
      <c r="C33" s="21"/>
      <c r="D33" s="20" t="s">
        <v>290</v>
      </c>
      <c r="E33" s="21"/>
      <c r="F33" s="20" t="s">
        <v>296</v>
      </c>
      <c r="G33" s="20" t="s">
        <v>300</v>
      </c>
      <c r="H33" s="20" t="s">
        <v>304</v>
      </c>
      <c r="I33" s="20" t="s">
        <v>308</v>
      </c>
      <c r="J33" s="20" t="s">
        <v>308</v>
      </c>
      <c r="K33" s="20" t="s">
        <v>312</v>
      </c>
      <c r="L33" s="22"/>
    </row>
    <row r="34" spans="1:12" ht="15">
      <c r="A34" s="21"/>
      <c r="B34" s="20" t="s">
        <v>286</v>
      </c>
      <c r="C34" s="21"/>
      <c r="D34" s="21"/>
      <c r="E34" s="21"/>
      <c r="F34" s="21"/>
      <c r="G34" s="20"/>
      <c r="H34" s="20"/>
      <c r="I34" s="20"/>
      <c r="J34" s="20"/>
      <c r="K34" s="20"/>
      <c r="L34" s="22"/>
    </row>
    <row r="35" spans="1:12" ht="15">
      <c r="A35" s="23">
        <v>1</v>
      </c>
      <c r="B35" s="23">
        <v>2</v>
      </c>
      <c r="C35" s="23">
        <v>3</v>
      </c>
      <c r="D35" s="23">
        <v>4</v>
      </c>
      <c r="E35" s="23">
        <v>5</v>
      </c>
      <c r="F35" s="23">
        <v>6</v>
      </c>
      <c r="G35" s="23">
        <v>7</v>
      </c>
      <c r="H35" s="23">
        <v>8</v>
      </c>
      <c r="I35" s="23">
        <v>9</v>
      </c>
      <c r="J35" s="23">
        <v>10</v>
      </c>
      <c r="K35" s="23">
        <v>11</v>
      </c>
      <c r="L35" s="24">
        <v>12</v>
      </c>
    </row>
    <row r="37" spans="1:12" ht="60">
      <c r="A37" s="27" t="str">
        <f>Source!E24</f>
        <v>1</v>
      </c>
      <c r="B37" s="27" t="str">
        <f>Source!F24</f>
        <v>68-15-3</v>
      </c>
      <c r="C37" s="28" t="str">
        <f>Source!G24</f>
        <v>Ремонт асфальтобетонного покрытия дорог однослойного толщиной: 70 мм площадью ремонта до 5 м2</v>
      </c>
      <c r="D37" s="29" t="str">
        <f>Source!H24</f>
        <v>100 м2</v>
      </c>
      <c r="E37" s="13">
        <f>ROUND(Source!I24,6)</f>
        <v>1.002</v>
      </c>
      <c r="F37" s="15">
        <f>IF(Source!AK24&lt;&gt;0,Source!AK24,Source!AL24+Source!AM24+Source!AO24)</f>
        <v>9362.5</v>
      </c>
      <c r="G37" s="13"/>
      <c r="H37" s="13"/>
      <c r="I37" s="30" t="str">
        <f>IF(Source!BO24&lt;&gt;"",Source!BO24,"")</f>
        <v>68-15-3</v>
      </c>
      <c r="J37" s="13"/>
      <c r="K37" s="13"/>
      <c r="L37" s="13"/>
    </row>
    <row r="38" spans="1:12" ht="15">
      <c r="A38" s="13"/>
      <c r="B38" s="13"/>
      <c r="C38" s="13" t="s">
        <v>317</v>
      </c>
      <c r="D38" s="13"/>
      <c r="E38" s="13"/>
      <c r="F38" s="15">
        <f>Source!AO24</f>
        <v>1078.64</v>
      </c>
      <c r="G38" s="30">
        <f>Source!DG24</f>
      </c>
      <c r="H38" s="15">
        <f>ROUND((Source!CT24/IF(Source!BA24&lt;&gt;0,Source!BA24,1)*Source!I24),2)</f>
        <v>1080.8</v>
      </c>
      <c r="I38" s="13"/>
      <c r="J38" s="13">
        <f>Source!BA24</f>
        <v>17.84</v>
      </c>
      <c r="K38" s="15">
        <f>Source!S24</f>
        <v>19281.42</v>
      </c>
      <c r="L38" s="13"/>
    </row>
    <row r="39" spans="1:12" ht="15">
      <c r="A39" s="13"/>
      <c r="B39" s="13"/>
      <c r="C39" s="13" t="s">
        <v>93</v>
      </c>
      <c r="D39" s="13"/>
      <c r="E39" s="13"/>
      <c r="F39" s="15">
        <f>Source!AM24</f>
        <v>514.15</v>
      </c>
      <c r="G39" s="30">
        <f>Source!DE24</f>
      </c>
      <c r="H39" s="15">
        <f>ROUND((Source!CR24/IF(Source!BB24&lt;&gt;0,Source!BB24,1)*Source!I24),2)</f>
        <v>515.18</v>
      </c>
      <c r="I39" s="13"/>
      <c r="J39" s="13">
        <f>Source!BB24</f>
        <v>7.77</v>
      </c>
      <c r="K39" s="15">
        <f>Source!Q24</f>
        <v>4002.94</v>
      </c>
      <c r="L39" s="13"/>
    </row>
    <row r="40" spans="1:12" ht="15">
      <c r="A40" s="13"/>
      <c r="B40" s="13"/>
      <c r="C40" s="13" t="s">
        <v>318</v>
      </c>
      <c r="D40" s="13"/>
      <c r="E40" s="13"/>
      <c r="F40" s="15">
        <f>Source!AN24</f>
        <v>80.92</v>
      </c>
      <c r="G40" s="30">
        <f>Source!DF24</f>
      </c>
      <c r="H40" s="32">
        <f>ROUND((Source!CS24/IF(Source!BS24&lt;&gt;0,Source!BS24,1)*Source!I24),2)</f>
        <v>81.08</v>
      </c>
      <c r="I40" s="13"/>
      <c r="J40" s="13">
        <f>Source!BS24</f>
        <v>17.84</v>
      </c>
      <c r="K40" s="32">
        <f>Source!R24</f>
        <v>1446.5</v>
      </c>
      <c r="L40" s="13"/>
    </row>
    <row r="41" spans="1:12" ht="15">
      <c r="A41" s="13"/>
      <c r="B41" s="13"/>
      <c r="C41" s="13" t="s">
        <v>319</v>
      </c>
      <c r="D41" s="13"/>
      <c r="E41" s="13"/>
      <c r="F41" s="15">
        <f>Source!AL24</f>
        <v>7769.71</v>
      </c>
      <c r="G41" s="30">
        <f>Source!DD24</f>
      </c>
      <c r="H41" s="15">
        <f>ROUND((Source!CQ24/IF(Source!BC24&lt;&gt;0,Source!BC24,1)*Source!I24),2)</f>
        <v>7785.25</v>
      </c>
      <c r="I41" s="13"/>
      <c r="J41" s="13">
        <f>Source!BC24</f>
        <v>5.23</v>
      </c>
      <c r="K41" s="15">
        <f>Source!P24</f>
        <v>40716.85</v>
      </c>
      <c r="L41" s="13"/>
    </row>
    <row r="42" spans="1:24" ht="15">
      <c r="A42" s="13"/>
      <c r="B42" s="13"/>
      <c r="C42" s="13" t="s">
        <v>320</v>
      </c>
      <c r="D42" s="16" t="s">
        <v>321</v>
      </c>
      <c r="E42" s="13"/>
      <c r="F42" s="15">
        <f>Source!BZ24</f>
        <v>104</v>
      </c>
      <c r="G42" s="13"/>
      <c r="H42" s="15">
        <f>X42</f>
        <v>1208.36</v>
      </c>
      <c r="I42" s="13" t="str">
        <f>Source!FV24</f>
        <v>((*0.85))</v>
      </c>
      <c r="J42" s="15">
        <f>Source!AT24</f>
        <v>88</v>
      </c>
      <c r="K42" s="15">
        <f>Source!X24</f>
        <v>18240.57</v>
      </c>
      <c r="L42" s="13"/>
      <c r="X42">
        <f>ROUND((Source!FX24/100)*(ROUND((Source!CT24/IF(Source!BA24&lt;&gt;0,Source!BA24,1)*Source!I24),2)+ROUND((Source!CS24/IF(Source!BS24&lt;&gt;0,Source!BS24,1)*Source!I24),2)),2)</f>
        <v>1208.36</v>
      </c>
    </row>
    <row r="43" spans="1:25" ht="15">
      <c r="A43" s="13"/>
      <c r="B43" s="13"/>
      <c r="C43" s="13" t="s">
        <v>109</v>
      </c>
      <c r="D43" s="16" t="s">
        <v>321</v>
      </c>
      <c r="E43" s="13"/>
      <c r="F43" s="15">
        <f>Source!CA24</f>
        <v>60</v>
      </c>
      <c r="G43" s="13"/>
      <c r="H43" s="15">
        <f>Y43</f>
        <v>697.13</v>
      </c>
      <c r="I43" s="13" t="str">
        <f>Source!FW24</f>
        <v>((*0.8))</v>
      </c>
      <c r="J43" s="15">
        <f>Source!AU24</f>
        <v>48</v>
      </c>
      <c r="K43" s="15">
        <f>Source!Y24</f>
        <v>9949.4</v>
      </c>
      <c r="L43" s="13"/>
      <c r="Y43">
        <f>ROUND((Source!FY24/100)*(ROUND((Source!CT24/IF(Source!BA24&lt;&gt;0,Source!BA24,1)*Source!I24),2)+ROUND((Source!CS24/IF(Source!BS24&lt;&gt;0,Source!BS24,1)*Source!I24),2)),2)</f>
        <v>697.13</v>
      </c>
    </row>
    <row r="44" spans="1:12" ht="15">
      <c r="A44" s="33"/>
      <c r="B44" s="33"/>
      <c r="C44" s="33" t="s">
        <v>322</v>
      </c>
      <c r="D44" s="34" t="s">
        <v>323</v>
      </c>
      <c r="E44" s="33">
        <f>Source!AQ24</f>
        <v>129.8</v>
      </c>
      <c r="F44" s="33"/>
      <c r="G44" s="35">
        <f>Source!DI24</f>
      </c>
      <c r="H44" s="33"/>
      <c r="I44" s="33"/>
      <c r="J44" s="33"/>
      <c r="K44" s="33"/>
      <c r="L44" s="36">
        <f>Source!U24</f>
        <v>130.05960000000002</v>
      </c>
    </row>
    <row r="45" spans="1:23" ht="15.75">
      <c r="A45" s="13"/>
      <c r="B45" s="13"/>
      <c r="C45" s="13"/>
      <c r="D45" s="13"/>
      <c r="E45" s="13"/>
      <c r="F45" s="13"/>
      <c r="G45" s="13"/>
      <c r="H45" s="37">
        <f>ROUND((Source!CT24/IF(Source!BA24&lt;&gt;0,Source!BA24,1)*Source!I24),2)+ROUND((Source!CR24/IF(Source!BB24&lt;&gt;0,Source!BB24,1)*Source!I24),2)+H41+H42+H43</f>
        <v>11286.72</v>
      </c>
      <c r="I45" s="38"/>
      <c r="J45" s="38"/>
      <c r="K45" s="37">
        <f>Source!S24+Source!Q24+K41+K42+K43</f>
        <v>92191.18</v>
      </c>
      <c r="L45" s="37">
        <f>Source!U24</f>
        <v>130.05960000000002</v>
      </c>
      <c r="M45" s="31">
        <f>H45</f>
        <v>11286.72</v>
      </c>
      <c r="N45">
        <f>ROUND((Source!CT24/IF(Source!BA24&lt;&gt;0,Source!BA24,1)*Source!I24),2)</f>
        <v>1080.8</v>
      </c>
      <c r="O45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11286.7067568</v>
      </c>
      <c r="P45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45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45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45">
        <f>IF(Source!BI24=1,Source!O24+Source!X24+Source!Y24,0)</f>
        <v>92191.18</v>
      </c>
      <c r="T45">
        <f>IF(Source!BI24=2,Source!O24+Source!X24+Source!Y24,0)</f>
        <v>0</v>
      </c>
      <c r="U45">
        <f>IF(Source!BI24=3,Source!O24+Source!X24+Source!Y24,0)</f>
        <v>0</v>
      </c>
      <c r="V45">
        <f>IF(Source!BI24=4,Source!O24+Source!X24+Source!Y24,0)</f>
        <v>0</v>
      </c>
      <c r="W45">
        <f>ROUND((Source!CS24/IF(Source!BS24&lt;&gt;0,Source!BS24,1)*Source!I24),2)</f>
        <v>81.08</v>
      </c>
    </row>
    <row r="46" spans="1:12" ht="45">
      <c r="A46" s="27" t="str">
        <f>Source!E25</f>
        <v>2</v>
      </c>
      <c r="B46" s="27" t="str">
        <f>Source!F25</f>
        <v>01-01-036-1</v>
      </c>
      <c r="C46" s="28" t="str">
        <f>Source!G25</f>
        <v>Планировка площадей бульдозерами мощностью 59 кВт (80л.с.)</v>
      </c>
      <c r="D46" s="29" t="str">
        <f>Source!H25</f>
        <v>1000 м2</v>
      </c>
      <c r="E46" s="13">
        <f>ROUND(Source!I25,6)</f>
        <v>0.0988</v>
      </c>
      <c r="F46" s="15">
        <f>IF(Source!AK25&lt;&gt;0,Source!AK25,Source!AL25+Source!AM25+Source!AO25)</f>
        <v>23.29</v>
      </c>
      <c r="G46" s="13"/>
      <c r="H46" s="13"/>
      <c r="I46" s="30" t="str">
        <f>IF(Source!BO25&lt;&gt;"",Source!BO25,"")</f>
        <v>01-01-036-1</v>
      </c>
      <c r="J46" s="13"/>
      <c r="K46" s="13"/>
      <c r="L46" s="13"/>
    </row>
    <row r="47" spans="1:12" ht="15">
      <c r="A47" s="13"/>
      <c r="B47" s="13"/>
      <c r="C47" s="13" t="s">
        <v>93</v>
      </c>
      <c r="D47" s="13"/>
      <c r="E47" s="13"/>
      <c r="F47" s="15">
        <f>Source!AM25</f>
        <v>23.29</v>
      </c>
      <c r="G47" s="30">
        <f>Source!DE25</f>
      </c>
      <c r="H47" s="15">
        <f>ROUND((Source!CR25/IF(Source!BB25&lt;&gt;0,Source!BB25,1)*Source!I25),2)</f>
        <v>2.3</v>
      </c>
      <c r="I47" s="13"/>
      <c r="J47" s="13">
        <f>Source!BB25</f>
        <v>11.02</v>
      </c>
      <c r="K47" s="15">
        <f>Source!Q25</f>
        <v>25.36</v>
      </c>
      <c r="L47" s="13"/>
    </row>
    <row r="48" spans="1:12" ht="15">
      <c r="A48" s="13"/>
      <c r="B48" s="13"/>
      <c r="C48" s="13" t="s">
        <v>318</v>
      </c>
      <c r="D48" s="13"/>
      <c r="E48" s="13"/>
      <c r="F48" s="15">
        <f>Source!AN25</f>
        <v>5.13</v>
      </c>
      <c r="G48" s="30">
        <f>Source!DF25</f>
      </c>
      <c r="H48" s="32">
        <f>ROUND((Source!CS25/IF(Source!BS25&lt;&gt;0,Source!BS25,1)*Source!I25),2)</f>
        <v>0.51</v>
      </c>
      <c r="I48" s="13"/>
      <c r="J48" s="13">
        <f>Source!BS25</f>
        <v>17.84</v>
      </c>
      <c r="K48" s="32">
        <f>Source!R25</f>
        <v>9.04</v>
      </c>
      <c r="L48" s="13"/>
    </row>
    <row r="49" spans="1:24" ht="15">
      <c r="A49" s="13"/>
      <c r="B49" s="13"/>
      <c r="C49" s="13" t="s">
        <v>320</v>
      </c>
      <c r="D49" s="16" t="s">
        <v>321</v>
      </c>
      <c r="E49" s="13"/>
      <c r="F49" s="15">
        <f>Source!BZ25</f>
        <v>95</v>
      </c>
      <c r="G49" s="13"/>
      <c r="H49" s="15">
        <f>X49</f>
        <v>0.48</v>
      </c>
      <c r="I49" s="13" t="str">
        <f>Source!FV25</f>
        <v>((*0.85))</v>
      </c>
      <c r="J49" s="15">
        <f>Source!AT25</f>
        <v>81</v>
      </c>
      <c r="K49" s="15">
        <f>Source!X25</f>
        <v>7.32</v>
      </c>
      <c r="L49" s="13"/>
      <c r="X49">
        <f>ROUND((Source!FX25/100)*(ROUND((Source!CT25/IF(Source!BA25&lt;&gt;0,Source!BA25,1)*Source!I25),2)+ROUND((Source!CS25/IF(Source!BS25&lt;&gt;0,Source!BS25,1)*Source!I25),2)),2)</f>
        <v>0.48</v>
      </c>
    </row>
    <row r="50" spans="1:25" ht="15">
      <c r="A50" s="33"/>
      <c r="B50" s="33"/>
      <c r="C50" s="33" t="s">
        <v>109</v>
      </c>
      <c r="D50" s="34" t="s">
        <v>321</v>
      </c>
      <c r="E50" s="33"/>
      <c r="F50" s="36">
        <f>Source!CA25</f>
        <v>50</v>
      </c>
      <c r="G50" s="33"/>
      <c r="H50" s="36">
        <f>Y50</f>
        <v>0.26</v>
      </c>
      <c r="I50" s="33" t="str">
        <f>Source!FW25</f>
        <v>((*0.8))</v>
      </c>
      <c r="J50" s="36">
        <f>Source!AU25</f>
        <v>40</v>
      </c>
      <c r="K50" s="36">
        <f>Source!Y25</f>
        <v>3.62</v>
      </c>
      <c r="L50" s="33"/>
      <c r="Y50">
        <f>ROUND((Source!FY25/100)*(ROUND((Source!CT25/IF(Source!BA25&lt;&gt;0,Source!BA25,1)*Source!I25),2)+ROUND((Source!CS25/IF(Source!BS25&lt;&gt;0,Source!BS25,1)*Source!I25),2)),2)</f>
        <v>0.26</v>
      </c>
    </row>
    <row r="51" spans="1:23" ht="15.75">
      <c r="A51" s="13"/>
      <c r="B51" s="13"/>
      <c r="C51" s="13"/>
      <c r="D51" s="13"/>
      <c r="E51" s="13"/>
      <c r="F51" s="13"/>
      <c r="G51" s="13"/>
      <c r="H51" s="37">
        <f>ROUND((Source!CT25/IF(Source!BA25&lt;&gt;0,Source!BA25,1)*Source!I25),2)+ROUND((Source!CR25/IF(Source!BB25&lt;&gt;0,Source!BB25,1)*Source!I25),2)+H49+H50</f>
        <v>3.04</v>
      </c>
      <c r="I51" s="38"/>
      <c r="J51" s="38"/>
      <c r="K51" s="37">
        <f>Source!S25+Source!Q25+K49+K50</f>
        <v>36.3</v>
      </c>
      <c r="L51" s="37">
        <f>Source!U25</f>
        <v>0</v>
      </c>
      <c r="M51" s="31">
        <f>H51</f>
        <v>3.04</v>
      </c>
      <c r="N51">
        <f>ROUND((Source!CT25/IF(Source!BA25&lt;&gt;0,Source!BA25,1)*Source!I25),2)</f>
        <v>0</v>
      </c>
      <c r="O51">
        <f>IF(Source!BI25=1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3.0359757999999997</v>
      </c>
      <c r="P51">
        <f>IF(Source!BI25=2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Q51">
        <f>IF(Source!BI25=3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R51">
        <f>IF(Source!BI25=4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S51">
        <f>IF(Source!BI25=1,Source!O25+Source!X25+Source!Y25,0)</f>
        <v>36.3</v>
      </c>
      <c r="T51">
        <f>IF(Source!BI25=2,Source!O25+Source!X25+Source!Y25,0)</f>
        <v>0</v>
      </c>
      <c r="U51">
        <f>IF(Source!BI25=3,Source!O25+Source!X25+Source!Y25,0)</f>
        <v>0</v>
      </c>
      <c r="V51">
        <f>IF(Source!BI25=4,Source!O25+Source!X25+Source!Y25,0)</f>
        <v>0</v>
      </c>
      <c r="W51">
        <f>ROUND((Source!CS25/IF(Source!BS25&lt;&gt;0,Source!BS25,1)*Source!I25),2)</f>
        <v>0.51</v>
      </c>
    </row>
    <row r="52" spans="1:12" ht="45">
      <c r="A52" s="27" t="str">
        <f>Source!E26</f>
        <v>3</v>
      </c>
      <c r="B52" s="27" t="str">
        <f>Source!F26</f>
        <v>27-04-001-1</v>
      </c>
      <c r="C52" s="28" t="str">
        <f>Source!G26</f>
        <v>Устройство подстилающих и выравнивающих слоев оснований из песка</v>
      </c>
      <c r="D52" s="29" t="str">
        <f>Source!H26</f>
        <v>100 м3</v>
      </c>
      <c r="E52" s="13">
        <f>ROUND(Source!I26,6)</f>
        <v>0.0988</v>
      </c>
      <c r="F52" s="15">
        <f>IF(Source!AK26&lt;&gt;0,Source!AK26,Source!AL26+Source!AM26+Source!AO26)</f>
        <v>2324.46</v>
      </c>
      <c r="G52" s="13"/>
      <c r="H52" s="13"/>
      <c r="I52" s="30" t="str">
        <f>IF(Source!BO26&lt;&gt;"",Source!BO26,"")</f>
        <v>27-04-001-1</v>
      </c>
      <c r="J52" s="13"/>
      <c r="K52" s="13"/>
      <c r="L52" s="13"/>
    </row>
    <row r="53" spans="1:12" ht="15">
      <c r="A53" s="13"/>
      <c r="B53" s="13"/>
      <c r="C53" s="13" t="s">
        <v>317</v>
      </c>
      <c r="D53" s="13"/>
      <c r="E53" s="13"/>
      <c r="F53" s="15">
        <f>Source!AO26</f>
        <v>126.07</v>
      </c>
      <c r="G53" s="30">
        <f>Source!DG26</f>
      </c>
      <c r="H53" s="15">
        <f>ROUND((Source!CT26/IF(Source!BA26&lt;&gt;0,Source!BA26,1)*Source!I26),2)</f>
        <v>12.46</v>
      </c>
      <c r="I53" s="13"/>
      <c r="J53" s="13">
        <f>Source!BA26</f>
        <v>17.84</v>
      </c>
      <c r="K53" s="15">
        <f>Source!S26</f>
        <v>222.21</v>
      </c>
      <c r="L53" s="13"/>
    </row>
    <row r="54" spans="1:12" ht="15">
      <c r="A54" s="13"/>
      <c r="B54" s="13"/>
      <c r="C54" s="13" t="s">
        <v>93</v>
      </c>
      <c r="D54" s="13"/>
      <c r="E54" s="13"/>
      <c r="F54" s="15">
        <f>Source!AM26</f>
        <v>2186.19</v>
      </c>
      <c r="G54" s="30">
        <f>Source!DE26</f>
      </c>
      <c r="H54" s="15">
        <f>ROUND((Source!CR26/IF(Source!BB26&lt;&gt;0,Source!BB26,1)*Source!I26),2)</f>
        <v>216</v>
      </c>
      <c r="I54" s="13"/>
      <c r="J54" s="13">
        <f>Source!BB26</f>
        <v>5.79</v>
      </c>
      <c r="K54" s="15">
        <f>Source!Q26</f>
        <v>1250.61</v>
      </c>
      <c r="L54" s="13"/>
    </row>
    <row r="55" spans="1:12" ht="15">
      <c r="A55" s="13"/>
      <c r="B55" s="13"/>
      <c r="C55" s="13" t="s">
        <v>318</v>
      </c>
      <c r="D55" s="13"/>
      <c r="E55" s="13"/>
      <c r="F55" s="15">
        <f>Source!AN26</f>
        <v>177.53</v>
      </c>
      <c r="G55" s="30">
        <f>Source!DF26</f>
      </c>
      <c r="H55" s="32">
        <f>ROUND((Source!CS26/IF(Source!BS26&lt;&gt;0,Source!BS26,1)*Source!I26),2)</f>
        <v>17.54</v>
      </c>
      <c r="I55" s="13"/>
      <c r="J55" s="13">
        <f>Source!BS26</f>
        <v>17.84</v>
      </c>
      <c r="K55" s="32">
        <f>Source!R26</f>
        <v>312.91</v>
      </c>
      <c r="L55" s="13"/>
    </row>
    <row r="56" spans="1:12" ht="15">
      <c r="A56" s="13"/>
      <c r="B56" s="13"/>
      <c r="C56" s="13" t="s">
        <v>319</v>
      </c>
      <c r="D56" s="13"/>
      <c r="E56" s="13"/>
      <c r="F56" s="15">
        <f>Source!AL26</f>
        <v>12.2</v>
      </c>
      <c r="G56" s="30">
        <f>Source!DD26</f>
      </c>
      <c r="H56" s="15">
        <f>ROUND((Source!CQ26/IF(Source!BC26&lt;&gt;0,Source!BC26,1)*Source!I26),2)</f>
        <v>1.21</v>
      </c>
      <c r="I56" s="13"/>
      <c r="J56" s="13">
        <f>Source!BC26</f>
        <v>4.95</v>
      </c>
      <c r="K56" s="15">
        <f>Source!P26</f>
        <v>5.97</v>
      </c>
      <c r="L56" s="13"/>
    </row>
    <row r="57" spans="1:24" ht="15">
      <c r="A57" s="13"/>
      <c r="B57" s="13"/>
      <c r="C57" s="13" t="s">
        <v>320</v>
      </c>
      <c r="D57" s="16" t="s">
        <v>321</v>
      </c>
      <c r="E57" s="13"/>
      <c r="F57" s="15">
        <f>Source!BZ26</f>
        <v>142</v>
      </c>
      <c r="G57" s="13"/>
      <c r="H57" s="15">
        <f>X57+X60</f>
        <v>42.6</v>
      </c>
      <c r="I57" s="13" t="str">
        <f>Source!FV26</f>
        <v>((*0.85))</v>
      </c>
      <c r="J57" s="15">
        <f>Source!AT26</f>
        <v>121</v>
      </c>
      <c r="K57" s="15">
        <f>Source!X26+Source!X27</f>
        <v>647.5</v>
      </c>
      <c r="L57" s="13"/>
      <c r="X57">
        <f>ROUND((Source!FX26/100)*(ROUND((Source!CT26/IF(Source!BA26&lt;&gt;0,Source!BA26,1)*Source!I26),2)+ROUND((Source!CS26/IF(Source!BS26&lt;&gt;0,Source!BS26,1)*Source!I26),2)),2)</f>
        <v>42.6</v>
      </c>
    </row>
    <row r="58" spans="1:25" ht="15">
      <c r="A58" s="13"/>
      <c r="B58" s="13"/>
      <c r="C58" s="13" t="s">
        <v>109</v>
      </c>
      <c r="D58" s="16" t="s">
        <v>321</v>
      </c>
      <c r="E58" s="13"/>
      <c r="F58" s="15">
        <f>Source!CA26</f>
        <v>95</v>
      </c>
      <c r="G58" s="13"/>
      <c r="H58" s="15">
        <f>Y58+Y60</f>
        <v>28.5</v>
      </c>
      <c r="I58" s="13" t="str">
        <f>Source!FW26</f>
        <v>((*0.8))</v>
      </c>
      <c r="J58" s="15">
        <f>Source!AU26</f>
        <v>76</v>
      </c>
      <c r="K58" s="15">
        <f>Source!Y26+Source!Y27</f>
        <v>406.69</v>
      </c>
      <c r="L58" s="13"/>
      <c r="Y58">
        <f>ROUND((Source!FY26/100)*(ROUND((Source!CT26/IF(Source!BA26&lt;&gt;0,Source!BA26,1)*Source!I26),2)+ROUND((Source!CS26/IF(Source!BS26&lt;&gt;0,Source!BS26,1)*Source!I26),2)),2)</f>
        <v>28.5</v>
      </c>
    </row>
    <row r="59" spans="1:12" ht="15">
      <c r="A59" s="13"/>
      <c r="B59" s="13"/>
      <c r="C59" s="13" t="s">
        <v>322</v>
      </c>
      <c r="D59" s="16" t="s">
        <v>323</v>
      </c>
      <c r="E59" s="13">
        <f>Source!AQ26</f>
        <v>15.72</v>
      </c>
      <c r="F59" s="13"/>
      <c r="G59" s="30">
        <f>Source!DI26</f>
      </c>
      <c r="H59" s="13"/>
      <c r="I59" s="13"/>
      <c r="J59" s="13"/>
      <c r="K59" s="13"/>
      <c r="L59" s="15">
        <f>Source!U26</f>
        <v>1.5531360000000003</v>
      </c>
    </row>
    <row r="60" spans="1:25" ht="30">
      <c r="A60" s="39"/>
      <c r="B60" s="39" t="str">
        <f>Source!F27</f>
        <v>408-0122</v>
      </c>
      <c r="C60" s="40" t="str">
        <f>Source!G27</f>
        <v>Песок природный для строительных работ средний</v>
      </c>
      <c r="D60" s="41" t="str">
        <f>Source!H27</f>
        <v>м3</v>
      </c>
      <c r="E60" s="33">
        <f>ROUND(Source!I27,6)</f>
        <v>10.868</v>
      </c>
      <c r="F60" s="36">
        <f>IF(Source!AL27=0,Source!AK27,Source!AL27)</f>
        <v>55.26</v>
      </c>
      <c r="G60" s="35">
        <f>Source!DD27</f>
      </c>
      <c r="H60" s="42">
        <f>ROUND((Source!CR27/IF(Source!BB27&lt;&gt;0,Source!BB27,1)*Source!I27),2)+ROUND((Source!CQ27/IF(Source!BC27&lt;&gt;0,Source!BC27,1)*Source!I27),2)+ROUND((Source!CT27/IF(Source!BA27&lt;&gt;0,Source!BA27,1)*Source!I27),2)</f>
        <v>600.57</v>
      </c>
      <c r="I60" s="35" t="str">
        <f>IF(Source!BO27&lt;&gt;"",Source!BO27,"")</f>
        <v>408-0122</v>
      </c>
      <c r="J60" s="33">
        <f>Source!BC27</f>
        <v>9.25</v>
      </c>
      <c r="K60" s="36">
        <f>Source!O27</f>
        <v>5555.23</v>
      </c>
      <c r="L60" s="33"/>
      <c r="N60">
        <f>ROUND((Source!CT27/IF(Source!BA27&lt;&gt;0,Source!BA27,1)*Source!I27),2)</f>
        <v>0</v>
      </c>
      <c r="O60">
        <f>IF(Source!BI27=1,(ROUND((Source!CR27/IF(Source!BB27&lt;&gt;0,Source!BB27,1)*Source!I27),2)+ROUND((Source!CQ27/IF(Source!BC27&lt;&gt;0,Source!BC27,1)*Source!I27),2)+ROUND((Source!CT27/IF(Source!BA27&lt;&gt;0,Source!BA27,1)*Source!I27),2)),0)</f>
        <v>600.57</v>
      </c>
      <c r="P60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60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60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S60">
        <f>IF(Source!BI27=1,Source!O27+Source!X27+Source!Y27,0)</f>
        <v>5555.23</v>
      </c>
      <c r="T60">
        <f>IF(Source!BI27=2,Source!O27+Source!X27+Source!Y27,0)</f>
        <v>0</v>
      </c>
      <c r="U60">
        <f>IF(Source!BI27=3,Source!O27+Source!X27+Source!Y27,0)</f>
        <v>0</v>
      </c>
      <c r="V60">
        <f>IF(Source!BI27=4,Source!O27+Source!X27+Source!Y27,0)</f>
        <v>0</v>
      </c>
      <c r="W60">
        <f>ROUND((Source!CS27/IF(Source!BS27&lt;&gt;0,Source!BS27,1)*Source!I27),2)</f>
        <v>0</v>
      </c>
      <c r="X60">
        <f>ROUND((Source!FX27/100)*(ROUND((Source!CT27/IF(Source!BA27&lt;&gt;0,Source!BA27,1)*Source!I27),2)+ROUND((Source!CS27/IF(Source!BS27&lt;&gt;0,Source!BS27,1)*Source!I27),2)),2)</f>
        <v>0</v>
      </c>
      <c r="Y60">
        <f>ROUND((Source!FY27/100)*(ROUND((Source!CT27/IF(Source!BA27&lt;&gt;0,Source!BA27,1)*Source!I27),2)+ROUND((Source!CS27/IF(Source!BS27&lt;&gt;0,Source!BS27,1)*Source!I27),2)),2)</f>
        <v>0</v>
      </c>
    </row>
    <row r="61" spans="1:23" ht="15.75">
      <c r="A61" s="13"/>
      <c r="B61" s="13"/>
      <c r="C61" s="13"/>
      <c r="D61" s="13"/>
      <c r="E61" s="13"/>
      <c r="F61" s="13"/>
      <c r="G61" s="13"/>
      <c r="H61" s="37">
        <f>ROUND((Source!CT26/IF(Source!BA26&lt;&gt;0,Source!BA26,1)*Source!I26),2)+ROUND((Source!CR26/IF(Source!BB26&lt;&gt;0,Source!BB26,1)*Source!I26),2)+H56+H57+H58+H60</f>
        <v>901.3400000000001</v>
      </c>
      <c r="I61" s="38"/>
      <c r="J61" s="38"/>
      <c r="K61" s="37">
        <f>Source!S26+Source!Q26+K56+K57+K58+K60</f>
        <v>8088.209999999999</v>
      </c>
      <c r="L61" s="37">
        <f>Source!U26</f>
        <v>1.5531360000000003</v>
      </c>
      <c r="M61" s="31">
        <f>H61</f>
        <v>901.3400000000001</v>
      </c>
      <c r="N61">
        <f>ROUND((Source!CT26/IF(Source!BA26&lt;&gt;0,Source!BA26,1)*Source!I26),2)</f>
        <v>12.46</v>
      </c>
      <c r="O61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300.74640960000005</v>
      </c>
      <c r="P61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61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61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61">
        <f>IF(Source!BI26=1,Source!O26+Source!X26+Source!Y26,0)</f>
        <v>2532.98</v>
      </c>
      <c r="T61">
        <f>IF(Source!BI26=2,Source!O26+Source!X26+Source!Y26,0)</f>
        <v>0</v>
      </c>
      <c r="U61">
        <f>IF(Source!BI26=3,Source!O26+Source!X26+Source!Y26,0)</f>
        <v>0</v>
      </c>
      <c r="V61">
        <f>IF(Source!BI26=4,Source!O26+Source!X26+Source!Y26,0)</f>
        <v>0</v>
      </c>
      <c r="W61">
        <f>ROUND((Source!CS26/IF(Source!BS26&lt;&gt;0,Source!BS26,1)*Source!I26),2)</f>
        <v>17.54</v>
      </c>
    </row>
    <row r="62" spans="1:12" ht="45">
      <c r="A62" s="27" t="str">
        <f>Source!E28</f>
        <v>4</v>
      </c>
      <c r="B62" s="27" t="str">
        <f>Source!F28</f>
        <v>27-04-001-4</v>
      </c>
      <c r="C62" s="28" t="str">
        <f>Source!G28</f>
        <v>Устройство подстилающих и выравнивающих слоев оснований из щебня</v>
      </c>
      <c r="D62" s="29" t="str">
        <f>Source!H28</f>
        <v>100 м3</v>
      </c>
      <c r="E62" s="13">
        <f>ROUND(Source!I28,6)</f>
        <v>0.0494</v>
      </c>
      <c r="F62" s="15">
        <f>IF(Source!AK28&lt;&gt;0,Source!AK28,Source!AL28+Source!AM28+Source!AO28)</f>
        <v>3578.4199999999996</v>
      </c>
      <c r="G62" s="13"/>
      <c r="H62" s="13"/>
      <c r="I62" s="30" t="str">
        <f>IF(Source!BO28&lt;&gt;"",Source!BO28,"")</f>
        <v>27-04-001-4</v>
      </c>
      <c r="J62" s="13"/>
      <c r="K62" s="13"/>
      <c r="L62" s="13"/>
    </row>
    <row r="63" spans="1:12" ht="15">
      <c r="A63" s="13"/>
      <c r="B63" s="13"/>
      <c r="C63" s="13" t="s">
        <v>317</v>
      </c>
      <c r="D63" s="13"/>
      <c r="E63" s="13"/>
      <c r="F63" s="15">
        <f>Source!AO28</f>
        <v>195.7</v>
      </c>
      <c r="G63" s="30">
        <f>Source!DG28</f>
      </c>
      <c r="H63" s="15">
        <f>ROUND((Source!CT28/IF(Source!BA28&lt;&gt;0,Source!BA28,1)*Source!I28),2)</f>
        <v>9.67</v>
      </c>
      <c r="I63" s="13"/>
      <c r="J63" s="13">
        <f>Source!BA28</f>
        <v>17.84</v>
      </c>
      <c r="K63" s="15">
        <f>Source!S28</f>
        <v>172.47</v>
      </c>
      <c r="L63" s="13"/>
    </row>
    <row r="64" spans="1:12" ht="15">
      <c r="A64" s="13"/>
      <c r="B64" s="13"/>
      <c r="C64" s="13" t="s">
        <v>93</v>
      </c>
      <c r="D64" s="13"/>
      <c r="E64" s="13"/>
      <c r="F64" s="15">
        <f>Source!AM28</f>
        <v>3365.64</v>
      </c>
      <c r="G64" s="30">
        <f>Source!DE28</f>
      </c>
      <c r="H64" s="15">
        <f>ROUND((Source!CR28/IF(Source!BB28&lt;&gt;0,Source!BB28,1)*Source!I28),2)</f>
        <v>166.26</v>
      </c>
      <c r="I64" s="13"/>
      <c r="J64" s="13">
        <f>Source!BB28</f>
        <v>6</v>
      </c>
      <c r="K64" s="15">
        <f>Source!Q28</f>
        <v>997.58</v>
      </c>
      <c r="L64" s="13"/>
    </row>
    <row r="65" spans="1:12" ht="15">
      <c r="A65" s="13"/>
      <c r="B65" s="13"/>
      <c r="C65" s="13" t="s">
        <v>318</v>
      </c>
      <c r="D65" s="13"/>
      <c r="E65" s="13"/>
      <c r="F65" s="15">
        <f>Source!AN28</f>
        <v>280.98</v>
      </c>
      <c r="G65" s="30">
        <f>Source!DF28</f>
      </c>
      <c r="H65" s="32">
        <f>ROUND((Source!CS28/IF(Source!BS28&lt;&gt;0,Source!BS28,1)*Source!I28),2)</f>
        <v>13.88</v>
      </c>
      <c r="I65" s="13"/>
      <c r="J65" s="13">
        <f>Source!BS28</f>
        <v>17.84</v>
      </c>
      <c r="K65" s="32">
        <f>Source!R28</f>
        <v>247.63</v>
      </c>
      <c r="L65" s="13"/>
    </row>
    <row r="66" spans="1:12" ht="15">
      <c r="A66" s="13"/>
      <c r="B66" s="13"/>
      <c r="C66" s="13" t="s">
        <v>319</v>
      </c>
      <c r="D66" s="13"/>
      <c r="E66" s="13"/>
      <c r="F66" s="15">
        <f>Source!AL28</f>
        <v>17.08</v>
      </c>
      <c r="G66" s="30">
        <f>Source!DD28</f>
      </c>
      <c r="H66" s="15">
        <f>ROUND((Source!CQ28/IF(Source!BC28&lt;&gt;0,Source!BC28,1)*Source!I28),2)</f>
        <v>0.84</v>
      </c>
      <c r="I66" s="13"/>
      <c r="J66" s="13">
        <f>Source!BC28</f>
        <v>4.95</v>
      </c>
      <c r="K66" s="15">
        <f>Source!P28</f>
        <v>4.18</v>
      </c>
      <c r="L66" s="13"/>
    </row>
    <row r="67" spans="1:24" ht="15">
      <c r="A67" s="13"/>
      <c r="B67" s="13"/>
      <c r="C67" s="13" t="s">
        <v>320</v>
      </c>
      <c r="D67" s="16" t="s">
        <v>321</v>
      </c>
      <c r="E67" s="13"/>
      <c r="F67" s="15">
        <f>Source!BZ28</f>
        <v>142</v>
      </c>
      <c r="G67" s="13"/>
      <c r="H67" s="15">
        <f>X67+X70</f>
        <v>33.44</v>
      </c>
      <c r="I67" s="13" t="str">
        <f>Source!FV28</f>
        <v>((*0.85))</v>
      </c>
      <c r="J67" s="15">
        <f>Source!AT28</f>
        <v>121</v>
      </c>
      <c r="K67" s="15">
        <f>Source!X28+Source!X29</f>
        <v>508.32</v>
      </c>
      <c r="L67" s="13"/>
      <c r="X67">
        <f>ROUND((Source!FX28/100)*(ROUND((Source!CT28/IF(Source!BA28&lt;&gt;0,Source!BA28,1)*Source!I28),2)+ROUND((Source!CS28/IF(Source!BS28&lt;&gt;0,Source!BS28,1)*Source!I28),2)),2)</f>
        <v>33.44</v>
      </c>
    </row>
    <row r="68" spans="1:25" ht="15">
      <c r="A68" s="13"/>
      <c r="B68" s="13"/>
      <c r="C68" s="13" t="s">
        <v>109</v>
      </c>
      <c r="D68" s="16" t="s">
        <v>321</v>
      </c>
      <c r="E68" s="13"/>
      <c r="F68" s="15">
        <f>Source!CA28</f>
        <v>95</v>
      </c>
      <c r="G68" s="13"/>
      <c r="H68" s="15">
        <f>Y68+Y70</f>
        <v>22.37</v>
      </c>
      <c r="I68" s="13" t="str">
        <f>Source!FW28</f>
        <v>((*0.8))</v>
      </c>
      <c r="J68" s="15">
        <f>Source!AU28</f>
        <v>76</v>
      </c>
      <c r="K68" s="15">
        <f>Source!Y28+Source!Y29</f>
        <v>319.28</v>
      </c>
      <c r="L68" s="13"/>
      <c r="Y68">
        <f>ROUND((Source!FY28/100)*(ROUND((Source!CT28/IF(Source!BA28&lt;&gt;0,Source!BA28,1)*Source!I28),2)+ROUND((Source!CS28/IF(Source!BS28&lt;&gt;0,Source!BS28,1)*Source!I28),2)),2)</f>
        <v>22.37</v>
      </c>
    </row>
    <row r="69" spans="1:12" ht="15">
      <c r="A69" s="13"/>
      <c r="B69" s="13"/>
      <c r="C69" s="13" t="s">
        <v>322</v>
      </c>
      <c r="D69" s="16" t="s">
        <v>323</v>
      </c>
      <c r="E69" s="13">
        <f>Source!AQ28</f>
        <v>24.19</v>
      </c>
      <c r="F69" s="13"/>
      <c r="G69" s="30">
        <f>Source!DI28</f>
      </c>
      <c r="H69" s="13"/>
      <c r="I69" s="13"/>
      <c r="J69" s="13"/>
      <c r="K69" s="13"/>
      <c r="L69" s="15">
        <f>Source!U28</f>
        <v>1.1949860000000003</v>
      </c>
    </row>
    <row r="70" spans="1:25" ht="45">
      <c r="A70" s="39"/>
      <c r="B70" s="39" t="str">
        <f>Source!F29</f>
        <v>408-0392</v>
      </c>
      <c r="C70" s="40" t="str">
        <f>Source!G29</f>
        <v>Щебень известняковый для строительных работ марки 600 фракции 10-40 мм</v>
      </c>
      <c r="D70" s="41" t="str">
        <f>Source!H29</f>
        <v>м3</v>
      </c>
      <c r="E70" s="33">
        <f>ROUND(Source!I29,6)</f>
        <v>6.2244</v>
      </c>
      <c r="F70" s="36">
        <f>IF(Source!AL29=0,Source!AK29,Source!AL29)</f>
        <v>129.1</v>
      </c>
      <c r="G70" s="35">
        <f>Source!DD29</f>
      </c>
      <c r="H70" s="42">
        <f>ROUND((Source!CR29/IF(Source!BB29&lt;&gt;0,Source!BB29,1)*Source!I29),2)+ROUND((Source!CQ29/IF(Source!BC29&lt;&gt;0,Source!BC29,1)*Source!I29),2)+ROUND((Source!CT29/IF(Source!BA29&lt;&gt;0,Source!BA29,1)*Source!I29),2)</f>
        <v>803.57</v>
      </c>
      <c r="I70" s="35" t="str">
        <f>IF(Source!BO29&lt;&gt;"",Source!BO29,"")</f>
        <v>408-0392</v>
      </c>
      <c r="J70" s="33">
        <f>Source!BC29</f>
        <v>8.85</v>
      </c>
      <c r="K70" s="36">
        <f>Source!O29</f>
        <v>7111.59</v>
      </c>
      <c r="L70" s="33"/>
      <c r="N70">
        <f>ROUND((Source!CT29/IF(Source!BA29&lt;&gt;0,Source!BA29,1)*Source!I29),2)</f>
        <v>0</v>
      </c>
      <c r="O70">
        <f>IF(Source!BI29=1,(ROUND((Source!CR29/IF(Source!BB29&lt;&gt;0,Source!BB29,1)*Source!I29),2)+ROUND((Source!CQ29/IF(Source!BC29&lt;&gt;0,Source!BC29,1)*Source!I29),2)+ROUND((Source!CT29/IF(Source!BA29&lt;&gt;0,Source!BA29,1)*Source!I29),2)),0)</f>
        <v>803.57</v>
      </c>
      <c r="P70">
        <f>IF(Source!BI29=2,(ROUND((Source!CR29/IF(Source!BB29&lt;&gt;0,Source!BB29,1)*Source!I29),2)+ROUND((Source!CQ29/IF(Source!BC29&lt;&gt;0,Source!BC29,1)*Source!I29),2)+ROUND((Source!CT29/IF(Source!BA29&lt;&gt;0,Source!BA29,1)*Source!I29),2)),0)</f>
        <v>0</v>
      </c>
      <c r="Q70">
        <f>IF(Source!BI29=3,(ROUND((Source!CR29/IF(Source!BB29&lt;&gt;0,Source!BB29,1)*Source!I29),2)+ROUND((Source!CQ29/IF(Source!BC29&lt;&gt;0,Source!BC29,1)*Source!I29),2)+ROUND((Source!CT29/IF(Source!BA29&lt;&gt;0,Source!BA29,1)*Source!I29),2)),0)</f>
        <v>0</v>
      </c>
      <c r="R70">
        <f>IF(Source!BI29=4,(ROUND((Source!CR29/IF(Source!BB29&lt;&gt;0,Source!BB29,1)*Source!I29),2)+ROUND((Source!CQ29/IF(Source!BC29&lt;&gt;0,Source!BC29,1)*Source!I29),2)+ROUND((Source!CT29/IF(Source!BA29&lt;&gt;0,Source!BA29,1)*Source!I29),2)),0)</f>
        <v>0</v>
      </c>
      <c r="S70">
        <f>IF(Source!BI29=1,Source!O29+Source!X29+Source!Y29,0)</f>
        <v>7111.59</v>
      </c>
      <c r="T70">
        <f>IF(Source!BI29=2,Source!O29+Source!X29+Source!Y29,0)</f>
        <v>0</v>
      </c>
      <c r="U70">
        <f>IF(Source!BI29=3,Source!O29+Source!X29+Source!Y29,0)</f>
        <v>0</v>
      </c>
      <c r="V70">
        <f>IF(Source!BI29=4,Source!O29+Source!X29+Source!Y29,0)</f>
        <v>0</v>
      </c>
      <c r="W70">
        <f>ROUND((Source!CS29/IF(Source!BS29&lt;&gt;0,Source!BS29,1)*Source!I29),2)</f>
        <v>0</v>
      </c>
      <c r="X70">
        <f>ROUND((Source!FX29/100)*(ROUND((Source!CT29/IF(Source!BA29&lt;&gt;0,Source!BA29,1)*Source!I29),2)+ROUND((Source!CS29/IF(Source!BS29&lt;&gt;0,Source!BS29,1)*Source!I29),2)),2)</f>
        <v>0</v>
      </c>
      <c r="Y70">
        <f>ROUND((Source!FY29/100)*(ROUND((Source!CT29/IF(Source!BA29&lt;&gt;0,Source!BA29,1)*Source!I29),2)+ROUND((Source!CS29/IF(Source!BS29&lt;&gt;0,Source!BS29,1)*Source!I29),2)),2)</f>
        <v>0</v>
      </c>
    </row>
    <row r="71" spans="1:23" ht="15.75">
      <c r="A71" s="13"/>
      <c r="B71" s="13"/>
      <c r="C71" s="13"/>
      <c r="D71" s="13"/>
      <c r="E71" s="13"/>
      <c r="F71" s="13"/>
      <c r="G71" s="13"/>
      <c r="H71" s="37">
        <f>ROUND((Source!CT28/IF(Source!BA28&lt;&gt;0,Source!BA28,1)*Source!I28),2)+ROUND((Source!CR28/IF(Source!BB28&lt;&gt;0,Source!BB28,1)*Source!I28),2)+H66+H67+H68+H70</f>
        <v>1036.15</v>
      </c>
      <c r="I71" s="38"/>
      <c r="J71" s="38"/>
      <c r="K71" s="37">
        <f>Source!S28+Source!Q28+K66+K67+K68+K70</f>
        <v>9113.42</v>
      </c>
      <c r="L71" s="37">
        <f>Source!U28</f>
        <v>1.1949860000000003</v>
      </c>
      <c r="M71" s="31">
        <f>H71</f>
        <v>1036.15</v>
      </c>
      <c r="N71">
        <f>ROUND((Source!CT28/IF(Source!BA28&lt;&gt;0,Source!BA28,1)*Source!I28),2)</f>
        <v>9.67</v>
      </c>
      <c r="O71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232.58268904000002</v>
      </c>
      <c r="P71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71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71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71">
        <f>IF(Source!BI28=1,Source!O28+Source!X28+Source!Y28,0)</f>
        <v>2001.83</v>
      </c>
      <c r="T71">
        <f>IF(Source!BI28=2,Source!O28+Source!X28+Source!Y28,0)</f>
        <v>0</v>
      </c>
      <c r="U71">
        <f>IF(Source!BI28=3,Source!O28+Source!X28+Source!Y28,0)</f>
        <v>0</v>
      </c>
      <c r="V71">
        <f>IF(Source!BI28=4,Source!O28+Source!X28+Source!Y28,0)</f>
        <v>0</v>
      </c>
      <c r="W71">
        <f>ROUND((Source!CS28/IF(Source!BS28&lt;&gt;0,Source!BS28,1)*Source!I28),2)</f>
        <v>13.88</v>
      </c>
    </row>
    <row r="72" spans="1:12" ht="90">
      <c r="A72" s="27" t="str">
        <f>Source!E30</f>
        <v>5</v>
      </c>
      <c r="B72" s="27" t="str">
        <f>Source!F30</f>
        <v>27-06-020-1</v>
      </c>
      <c r="C72" s="28" t="str">
        <f>Source!G30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72" s="29" t="str">
        <f>Source!H30</f>
        <v>1000 м2</v>
      </c>
      <c r="E72" s="13">
        <f>ROUND(Source!I30,6)</f>
        <v>0.0988</v>
      </c>
      <c r="F72" s="15">
        <f>IF(Source!AK30&lt;&gt;0,Source!AK30,Source!AL30+Source!AM30+Source!AO30)</f>
        <v>54732.409999999996</v>
      </c>
      <c r="G72" s="13"/>
      <c r="H72" s="13"/>
      <c r="I72" s="30" t="str">
        <f>IF(Source!BO30&lt;&gt;"",Source!BO30,"")</f>
        <v>27-06-020-1</v>
      </c>
      <c r="J72" s="13"/>
      <c r="K72" s="13"/>
      <c r="L72" s="13"/>
    </row>
    <row r="73" spans="1:12" ht="15">
      <c r="A73" s="13"/>
      <c r="B73" s="13"/>
      <c r="C73" s="13" t="s">
        <v>317</v>
      </c>
      <c r="D73" s="13"/>
      <c r="E73" s="13"/>
      <c r="F73" s="15">
        <f>Source!AO30</f>
        <v>368.45</v>
      </c>
      <c r="G73" s="30">
        <f>Source!DG30</f>
      </c>
      <c r="H73" s="15">
        <f>ROUND((Source!CT30/IF(Source!BA30&lt;&gt;0,Source!BA30,1)*Source!I30),2)</f>
        <v>36.4</v>
      </c>
      <c r="I73" s="13"/>
      <c r="J73" s="13">
        <f>Source!BA30</f>
        <v>17.84</v>
      </c>
      <c r="K73" s="15">
        <f>Source!S30</f>
        <v>649.43</v>
      </c>
      <c r="L73" s="13"/>
    </row>
    <row r="74" spans="1:12" ht="15">
      <c r="A74" s="13"/>
      <c r="B74" s="13"/>
      <c r="C74" s="13" t="s">
        <v>93</v>
      </c>
      <c r="D74" s="13"/>
      <c r="E74" s="13"/>
      <c r="F74" s="15">
        <f>Source!AM30</f>
        <v>2386.22</v>
      </c>
      <c r="G74" s="30">
        <f>Source!DE30</f>
      </c>
      <c r="H74" s="15">
        <f>ROUND((Source!CR30/IF(Source!BB30&lt;&gt;0,Source!BB30,1)*Source!I30),2)</f>
        <v>235.76</v>
      </c>
      <c r="I74" s="13"/>
      <c r="J74" s="13">
        <f>Source!BB30</f>
        <v>4.93</v>
      </c>
      <c r="K74" s="15">
        <f>Source!Q30</f>
        <v>1162.29</v>
      </c>
      <c r="L74" s="13"/>
    </row>
    <row r="75" spans="1:12" ht="15">
      <c r="A75" s="13"/>
      <c r="B75" s="13"/>
      <c r="C75" s="13" t="s">
        <v>318</v>
      </c>
      <c r="D75" s="13"/>
      <c r="E75" s="13"/>
      <c r="F75" s="15">
        <f>Source!AN30</f>
        <v>262.54</v>
      </c>
      <c r="G75" s="30">
        <f>Source!DF30</f>
      </c>
      <c r="H75" s="32">
        <f>ROUND((Source!CS30/IF(Source!BS30&lt;&gt;0,Source!BS30,1)*Source!I30),2)</f>
        <v>25.94</v>
      </c>
      <c r="I75" s="13"/>
      <c r="J75" s="13">
        <f>Source!BS30</f>
        <v>17.84</v>
      </c>
      <c r="K75" s="32">
        <f>Source!R30</f>
        <v>462.75</v>
      </c>
      <c r="L75" s="13"/>
    </row>
    <row r="76" spans="1:12" ht="15">
      <c r="A76" s="13"/>
      <c r="B76" s="13"/>
      <c r="C76" s="13" t="s">
        <v>319</v>
      </c>
      <c r="D76" s="13"/>
      <c r="E76" s="13"/>
      <c r="F76" s="15">
        <f>Source!AL30</f>
        <v>51977.74</v>
      </c>
      <c r="G76" s="30">
        <f>Source!DD30</f>
      </c>
      <c r="H76" s="15">
        <f>ROUND((Source!CQ30/IF(Source!BC30&lt;&gt;0,Source!BC30,1)*Source!I30),2)</f>
        <v>5135.4</v>
      </c>
      <c r="I76" s="13"/>
      <c r="J76" s="13">
        <f>Source!BC30</f>
        <v>4.74</v>
      </c>
      <c r="K76" s="15">
        <f>Source!P30</f>
        <v>24341.8</v>
      </c>
      <c r="L76" s="13"/>
    </row>
    <row r="77" spans="1:24" ht="15">
      <c r="A77" s="13"/>
      <c r="B77" s="13"/>
      <c r="C77" s="13" t="s">
        <v>320</v>
      </c>
      <c r="D77" s="16" t="s">
        <v>321</v>
      </c>
      <c r="E77" s="13"/>
      <c r="F77" s="15">
        <f>Source!BZ30</f>
        <v>142</v>
      </c>
      <c r="G77" s="13"/>
      <c r="H77" s="15">
        <f>X77</f>
        <v>88.52</v>
      </c>
      <c r="I77" s="13" t="str">
        <f>Source!FV30</f>
        <v>((*0.85))</v>
      </c>
      <c r="J77" s="15">
        <f>Source!AT30</f>
        <v>121</v>
      </c>
      <c r="K77" s="15">
        <f>Source!X30</f>
        <v>1345.74</v>
      </c>
      <c r="L77" s="13"/>
      <c r="X77">
        <f>ROUND((Source!FX30/100)*(ROUND((Source!CT30/IF(Source!BA30&lt;&gt;0,Source!BA30,1)*Source!I30),2)+ROUND((Source!CS30/IF(Source!BS30&lt;&gt;0,Source!BS30,1)*Source!I30),2)),2)</f>
        <v>88.52</v>
      </c>
    </row>
    <row r="78" spans="1:25" ht="15">
      <c r="A78" s="13"/>
      <c r="B78" s="13"/>
      <c r="C78" s="13" t="s">
        <v>109</v>
      </c>
      <c r="D78" s="16" t="s">
        <v>321</v>
      </c>
      <c r="E78" s="13"/>
      <c r="F78" s="15">
        <f>Source!CA30</f>
        <v>95</v>
      </c>
      <c r="G78" s="13"/>
      <c r="H78" s="15">
        <f>Y78</f>
        <v>59.22</v>
      </c>
      <c r="I78" s="13" t="str">
        <f>Source!FW30</f>
        <v>((*0.8))</v>
      </c>
      <c r="J78" s="15">
        <f>Source!AU30</f>
        <v>76</v>
      </c>
      <c r="K78" s="15">
        <f>Source!Y30</f>
        <v>845.26</v>
      </c>
      <c r="L78" s="13"/>
      <c r="Y78">
        <f>ROUND((Source!FY30/100)*(ROUND((Source!CT30/IF(Source!BA30&lt;&gt;0,Source!BA30,1)*Source!I30),2)+ROUND((Source!CS30/IF(Source!BS30&lt;&gt;0,Source!BS30,1)*Source!I30),2)),2)</f>
        <v>59.22</v>
      </c>
    </row>
    <row r="79" spans="1:12" ht="15">
      <c r="A79" s="33"/>
      <c r="B79" s="33"/>
      <c r="C79" s="33" t="s">
        <v>322</v>
      </c>
      <c r="D79" s="34" t="s">
        <v>323</v>
      </c>
      <c r="E79" s="33">
        <f>Source!AQ30</f>
        <v>38.3</v>
      </c>
      <c r="F79" s="33"/>
      <c r="G79" s="35">
        <f>Source!DI30</f>
      </c>
      <c r="H79" s="33"/>
      <c r="I79" s="33"/>
      <c r="J79" s="33"/>
      <c r="K79" s="33"/>
      <c r="L79" s="36">
        <f>Source!U30</f>
        <v>3.7840399999999996</v>
      </c>
    </row>
    <row r="80" spans="1:23" ht="15.75">
      <c r="A80" s="13"/>
      <c r="B80" s="13"/>
      <c r="C80" s="13"/>
      <c r="D80" s="13"/>
      <c r="E80" s="13"/>
      <c r="F80" s="13"/>
      <c r="G80" s="13"/>
      <c r="H80" s="37">
        <f>ROUND((Source!CT30/IF(Source!BA30&lt;&gt;0,Source!BA30,1)*Source!I30),2)+ROUND((Source!CR30/IF(Source!BB30&lt;&gt;0,Source!BB30,1)*Source!I30),2)+H76+H77+H78</f>
        <v>5555.3</v>
      </c>
      <c r="I80" s="38"/>
      <c r="J80" s="38"/>
      <c r="K80" s="37">
        <f>Source!S30+Source!Q30+K76+K77+K78</f>
        <v>28344.52</v>
      </c>
      <c r="L80" s="37">
        <f>Source!U30</f>
        <v>3.7840399999999996</v>
      </c>
      <c r="M80" s="31">
        <f>H80</f>
        <v>5555.3</v>
      </c>
      <c r="N80">
        <f>ROUND((Source!CT30/IF(Source!BA30&lt;&gt;0,Source!BA30,1)*Source!I30),2)</f>
        <v>36.4</v>
      </c>
      <c r="O80">
        <f>IF(Source!BI30=1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5555.31220244</v>
      </c>
      <c r="P80">
        <f>IF(Source!BI30=2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Q80">
        <f>IF(Source!BI30=3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R80">
        <f>IF(Source!BI30=4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S80">
        <f>IF(Source!BI30=1,Source!O30+Source!X30+Source!Y30,0)</f>
        <v>28344.52</v>
      </c>
      <c r="T80">
        <f>IF(Source!BI30=2,Source!O30+Source!X30+Source!Y30,0)</f>
        <v>0</v>
      </c>
      <c r="U80">
        <f>IF(Source!BI30=3,Source!O30+Source!X30+Source!Y30,0)</f>
        <v>0</v>
      </c>
      <c r="V80">
        <f>IF(Source!BI30=4,Source!O30+Source!X30+Source!Y30,0)</f>
        <v>0</v>
      </c>
      <c r="W80">
        <f>ROUND((Source!CS30/IF(Source!BS30&lt;&gt;0,Source!BS30,1)*Source!I30),2)</f>
        <v>25.94</v>
      </c>
    </row>
    <row r="81" spans="1:12" ht="60">
      <c r="A81" s="27" t="str">
        <f>Source!E31</f>
        <v>6</v>
      </c>
      <c r="B81" s="27" t="str">
        <f>Source!F31</f>
        <v>27-06-021-1</v>
      </c>
      <c r="C81" s="28" t="str">
        <f>Source!G31</f>
        <v>На каждые 0,5 см изменения толщины покрытия добавлять или исключать к расценке 27-06-020-01</v>
      </c>
      <c r="D81" s="29" t="str">
        <f>Source!H31</f>
        <v>1000 м2</v>
      </c>
      <c r="E81" s="13">
        <f>ROUND(Source!I31,6)</f>
        <v>0.0988</v>
      </c>
      <c r="F81" s="15">
        <f>IF(Source!AK31&lt;&gt;0,Source!AK31,Source!AL31+Source!AM31+Source!AO31)</f>
        <v>6485.89</v>
      </c>
      <c r="G81" s="13"/>
      <c r="H81" s="13"/>
      <c r="I81" s="30" t="str">
        <f>IF(Source!BO31&lt;&gt;"",Source!BO31,"")</f>
        <v>27-06-021-1</v>
      </c>
      <c r="J81" s="13"/>
      <c r="K81" s="13"/>
      <c r="L81" s="13"/>
    </row>
    <row r="82" spans="1:12" ht="15">
      <c r="A82" s="13"/>
      <c r="B82" s="13"/>
      <c r="C82" s="13" t="s">
        <v>317</v>
      </c>
      <c r="D82" s="13"/>
      <c r="E82" s="13"/>
      <c r="F82" s="15">
        <f>Source!AO31</f>
        <v>0.87</v>
      </c>
      <c r="G82" s="30" t="str">
        <f>Source!DG31</f>
        <v>*2</v>
      </c>
      <c r="H82" s="15">
        <f>ROUND((Source!CT31/IF(Source!BA31&lt;&gt;0,Source!BA31,1)*Source!I31),2)</f>
        <v>0.17</v>
      </c>
      <c r="I82" s="13"/>
      <c r="J82" s="13">
        <f>Source!BA31</f>
        <v>17.84</v>
      </c>
      <c r="K82" s="15">
        <f>Source!S31</f>
        <v>3.07</v>
      </c>
      <c r="L82" s="13"/>
    </row>
    <row r="83" spans="1:12" ht="15">
      <c r="A83" s="13"/>
      <c r="B83" s="13"/>
      <c r="C83" s="13" t="s">
        <v>93</v>
      </c>
      <c r="D83" s="13"/>
      <c r="E83" s="13"/>
      <c r="F83" s="15">
        <f>Source!AM31</f>
        <v>3.1</v>
      </c>
      <c r="G83" s="30" t="str">
        <f>Source!DE31</f>
        <v>*2</v>
      </c>
      <c r="H83" s="15">
        <f>ROUND((Source!CR31/IF(Source!BB31&lt;&gt;0,Source!BB31,1)*Source!I31),2)</f>
        <v>0.61</v>
      </c>
      <c r="I83" s="13"/>
      <c r="J83" s="13">
        <f>Source!BB31</f>
        <v>4.07</v>
      </c>
      <c r="K83" s="15">
        <f>Source!Q31</f>
        <v>2.49</v>
      </c>
      <c r="L83" s="13"/>
    </row>
    <row r="84" spans="1:12" ht="15">
      <c r="A84" s="13"/>
      <c r="B84" s="13"/>
      <c r="C84" s="13" t="s">
        <v>319</v>
      </c>
      <c r="D84" s="13"/>
      <c r="E84" s="13"/>
      <c r="F84" s="15">
        <f>Source!AL31</f>
        <v>6481.92</v>
      </c>
      <c r="G84" s="30" t="str">
        <f>Source!DD31</f>
        <v>*2</v>
      </c>
      <c r="H84" s="15">
        <f>ROUND((Source!CQ31/IF(Source!BC31&lt;&gt;0,Source!BC31,1)*Source!I31),2)</f>
        <v>1280.83</v>
      </c>
      <c r="I84" s="13"/>
      <c r="J84" s="13">
        <f>Source!BC31</f>
        <v>4.74</v>
      </c>
      <c r="K84" s="15">
        <f>Source!P31</f>
        <v>6071.12</v>
      </c>
      <c r="L84" s="13"/>
    </row>
    <row r="85" spans="1:24" ht="15">
      <c r="A85" s="13"/>
      <c r="B85" s="13"/>
      <c r="C85" s="13" t="s">
        <v>320</v>
      </c>
      <c r="D85" s="16" t="s">
        <v>321</v>
      </c>
      <c r="E85" s="13"/>
      <c r="F85" s="15">
        <f>Source!BZ31</f>
        <v>142</v>
      </c>
      <c r="G85" s="13"/>
      <c r="H85" s="15">
        <f>X85</f>
        <v>0.24</v>
      </c>
      <c r="I85" s="13" t="str">
        <f>Source!FV31</f>
        <v>((*0.85))</v>
      </c>
      <c r="J85" s="15">
        <f>Source!AT31</f>
        <v>121</v>
      </c>
      <c r="K85" s="15">
        <f>Source!X31</f>
        <v>3.71</v>
      </c>
      <c r="L85" s="13"/>
      <c r="X85">
        <f>ROUND((Source!FX31/100)*(ROUND((Source!CT31/IF(Source!BA31&lt;&gt;0,Source!BA31,1)*Source!I31),2)+ROUND((Source!CS31/IF(Source!BS31&lt;&gt;0,Source!BS31,1)*Source!I31),2)),2)</f>
        <v>0.24</v>
      </c>
    </row>
    <row r="86" spans="1:25" ht="15">
      <c r="A86" s="13"/>
      <c r="B86" s="13"/>
      <c r="C86" s="13" t="s">
        <v>109</v>
      </c>
      <c r="D86" s="16" t="s">
        <v>321</v>
      </c>
      <c r="E86" s="13"/>
      <c r="F86" s="15">
        <f>Source!CA31</f>
        <v>95</v>
      </c>
      <c r="G86" s="13"/>
      <c r="H86" s="15">
        <f>Y86</f>
        <v>0.16</v>
      </c>
      <c r="I86" s="13" t="str">
        <f>Source!FW31</f>
        <v>((*0.8))</v>
      </c>
      <c r="J86" s="15">
        <f>Source!AU31</f>
        <v>76</v>
      </c>
      <c r="K86" s="15">
        <f>Source!Y31</f>
        <v>2.33</v>
      </c>
      <c r="L86" s="13"/>
      <c r="Y86">
        <f>ROUND((Source!FY31/100)*(ROUND((Source!CT31/IF(Source!BA31&lt;&gt;0,Source!BA31,1)*Source!I31),2)+ROUND((Source!CS31/IF(Source!BS31&lt;&gt;0,Source!BS31,1)*Source!I31),2)),2)</f>
        <v>0.16</v>
      </c>
    </row>
    <row r="87" spans="1:12" ht="15">
      <c r="A87" s="33"/>
      <c r="B87" s="33"/>
      <c r="C87" s="33" t="s">
        <v>322</v>
      </c>
      <c r="D87" s="34" t="s">
        <v>323</v>
      </c>
      <c r="E87" s="33">
        <f>Source!AQ31</f>
        <v>0.09</v>
      </c>
      <c r="F87" s="33"/>
      <c r="G87" s="35" t="str">
        <f>Source!DI31</f>
        <v>*2</v>
      </c>
      <c r="H87" s="33"/>
      <c r="I87" s="33"/>
      <c r="J87" s="33"/>
      <c r="K87" s="33"/>
      <c r="L87" s="36">
        <f>Source!U31</f>
        <v>0.017783999999999998</v>
      </c>
    </row>
    <row r="88" spans="1:23" ht="15.75">
      <c r="A88" s="13"/>
      <c r="B88" s="13"/>
      <c r="C88" s="13"/>
      <c r="D88" s="13"/>
      <c r="E88" s="13"/>
      <c r="F88" s="13"/>
      <c r="G88" s="13"/>
      <c r="H88" s="37">
        <f>ROUND((Source!CT31/IF(Source!BA31&lt;&gt;0,Source!BA31,1)*Source!I31),2)+ROUND((Source!CR31/IF(Source!BB31&lt;&gt;0,Source!BB31,1)*Source!I31),2)+H84+H85+H86</f>
        <v>1282.01</v>
      </c>
      <c r="I88" s="38"/>
      <c r="J88" s="38"/>
      <c r="K88" s="37">
        <f>Source!S31+Source!Q31+K84+K85+K86</f>
        <v>6082.72</v>
      </c>
      <c r="L88" s="37">
        <f>Source!U31</f>
        <v>0.017783999999999998</v>
      </c>
      <c r="M88" s="31">
        <f>H88</f>
        <v>1282.01</v>
      </c>
      <c r="N88">
        <f>ROUND((Source!CT31/IF(Source!BA31&lt;&gt;0,Source!BA31,1)*Source!I31),2)</f>
        <v>0.17</v>
      </c>
      <c r="O88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1282.01929544</v>
      </c>
      <c r="P88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88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88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88">
        <f>IF(Source!BI31=1,Source!O31+Source!X31+Source!Y31,0)</f>
        <v>6082.72</v>
      </c>
      <c r="T88">
        <f>IF(Source!BI31=2,Source!O31+Source!X31+Source!Y31,0)</f>
        <v>0</v>
      </c>
      <c r="U88">
        <f>IF(Source!BI31=3,Source!O31+Source!X31+Source!Y31,0)</f>
        <v>0</v>
      </c>
      <c r="V88">
        <f>IF(Source!BI31=4,Source!O31+Source!X31+Source!Y31,0)</f>
        <v>0</v>
      </c>
      <c r="W88">
        <f>ROUND((Source!CS31/IF(Source!BS31&lt;&gt;0,Source!BS31,1)*Source!I31),2)</f>
        <v>0</v>
      </c>
    </row>
    <row r="89" spans="1:12" ht="45">
      <c r="A89" s="27" t="str">
        <f>Source!E32</f>
        <v>7</v>
      </c>
      <c r="B89" s="27" t="str">
        <f>Source!F32</f>
        <v>27-09-008-1</v>
      </c>
      <c r="C89" s="28" t="str">
        <f>Source!G32</f>
        <v>Установка дорожных знаков бесфундаментных на металлических стойках</v>
      </c>
      <c r="D89" s="29" t="str">
        <f>Source!H32</f>
        <v>100 шт.</v>
      </c>
      <c r="E89" s="13">
        <f>ROUND(Source!I32,6)</f>
        <v>0.01</v>
      </c>
      <c r="F89" s="15">
        <f>IF(Source!AK32&lt;&gt;0,Source!AK32,Source!AL32+Source!AM32+Source!AO32)</f>
        <v>7568.88</v>
      </c>
      <c r="G89" s="13"/>
      <c r="H89" s="13"/>
      <c r="I89" s="30" t="str">
        <f>IF(Source!BO32&lt;&gt;"",Source!BO32,"")</f>
        <v>27-09-008-1</v>
      </c>
      <c r="J89" s="13"/>
      <c r="K89" s="13"/>
      <c r="L89" s="13"/>
    </row>
    <row r="90" spans="1:12" ht="15">
      <c r="A90" s="13"/>
      <c r="B90" s="13"/>
      <c r="C90" s="13" t="s">
        <v>317</v>
      </c>
      <c r="D90" s="13"/>
      <c r="E90" s="13"/>
      <c r="F90" s="15">
        <f>Source!AO32</f>
        <v>3111.74</v>
      </c>
      <c r="G90" s="30">
        <f>Source!DG32</f>
      </c>
      <c r="H90" s="15">
        <f>ROUND((Source!CT32/IF(Source!BA32&lt;&gt;0,Source!BA32,1)*Source!I32),2)</f>
        <v>31.12</v>
      </c>
      <c r="I90" s="13"/>
      <c r="J90" s="13">
        <f>Source!BA32</f>
        <v>17.84</v>
      </c>
      <c r="K90" s="15">
        <f>Source!S32</f>
        <v>555.13</v>
      </c>
      <c r="L90" s="13"/>
    </row>
    <row r="91" spans="1:12" ht="15">
      <c r="A91" s="13"/>
      <c r="B91" s="13"/>
      <c r="C91" s="13" t="s">
        <v>93</v>
      </c>
      <c r="D91" s="13"/>
      <c r="E91" s="13"/>
      <c r="F91" s="15">
        <f>Source!AM32</f>
        <v>2740.25</v>
      </c>
      <c r="G91" s="30">
        <f>Source!DE32</f>
      </c>
      <c r="H91" s="15">
        <f>ROUND((Source!CR32/IF(Source!BB32&lt;&gt;0,Source!BB32,1)*Source!I32),2)</f>
        <v>27.4</v>
      </c>
      <c r="I91" s="13"/>
      <c r="J91" s="13">
        <f>Source!BB32</f>
        <v>4.5</v>
      </c>
      <c r="K91" s="15">
        <f>Source!Q32</f>
        <v>123.31</v>
      </c>
      <c r="L91" s="13"/>
    </row>
    <row r="92" spans="1:12" ht="15">
      <c r="A92" s="13"/>
      <c r="B92" s="13"/>
      <c r="C92" s="13" t="s">
        <v>318</v>
      </c>
      <c r="D92" s="13"/>
      <c r="E92" s="13"/>
      <c r="F92" s="15">
        <f>Source!AN32</f>
        <v>230.48</v>
      </c>
      <c r="G92" s="30">
        <f>Source!DF32</f>
      </c>
      <c r="H92" s="32">
        <f>ROUND((Source!CS32/IF(Source!BS32&lt;&gt;0,Source!BS32,1)*Source!I32),2)</f>
        <v>2.3</v>
      </c>
      <c r="I92" s="13"/>
      <c r="J92" s="13">
        <f>Source!BS32</f>
        <v>17.84</v>
      </c>
      <c r="K92" s="32">
        <f>Source!R32</f>
        <v>41.12</v>
      </c>
      <c r="L92" s="13"/>
    </row>
    <row r="93" spans="1:12" ht="15">
      <c r="A93" s="13"/>
      <c r="B93" s="13"/>
      <c r="C93" s="13" t="s">
        <v>319</v>
      </c>
      <c r="D93" s="13"/>
      <c r="E93" s="13"/>
      <c r="F93" s="15">
        <f>Source!AL32</f>
        <v>1716.89</v>
      </c>
      <c r="G93" s="30">
        <f>Source!DD32</f>
      </c>
      <c r="H93" s="15">
        <f>ROUND((Source!CQ32/IF(Source!BC32&lt;&gt;0,Source!BC32,1)*Source!I32),2)</f>
        <v>17.17</v>
      </c>
      <c r="I93" s="13"/>
      <c r="J93" s="13">
        <f>Source!BC32</f>
        <v>2.91</v>
      </c>
      <c r="K93" s="15">
        <f>Source!P32</f>
        <v>49.96</v>
      </c>
      <c r="L93" s="13"/>
    </row>
    <row r="94" spans="1:24" ht="15">
      <c r="A94" s="13"/>
      <c r="B94" s="13"/>
      <c r="C94" s="13" t="s">
        <v>320</v>
      </c>
      <c r="D94" s="16" t="s">
        <v>321</v>
      </c>
      <c r="E94" s="13"/>
      <c r="F94" s="15">
        <f>Source!BZ32</f>
        <v>142</v>
      </c>
      <c r="G94" s="13"/>
      <c r="H94" s="15">
        <f>X94</f>
        <v>47.46</v>
      </c>
      <c r="I94" s="13" t="str">
        <f>Source!FV32</f>
        <v>((*0.85))</v>
      </c>
      <c r="J94" s="15">
        <f>Source!AT32</f>
        <v>121</v>
      </c>
      <c r="K94" s="15">
        <f>Source!X32</f>
        <v>721.46</v>
      </c>
      <c r="L94" s="13"/>
      <c r="X94">
        <f>ROUND((Source!FX32/100)*(ROUND((Source!CT32/IF(Source!BA32&lt;&gt;0,Source!BA32,1)*Source!I32),2)+ROUND((Source!CS32/IF(Source!BS32&lt;&gt;0,Source!BS32,1)*Source!I32),2)),2)</f>
        <v>47.46</v>
      </c>
    </row>
    <row r="95" spans="1:25" ht="15">
      <c r="A95" s="13"/>
      <c r="B95" s="13"/>
      <c r="C95" s="13" t="s">
        <v>109</v>
      </c>
      <c r="D95" s="16" t="s">
        <v>321</v>
      </c>
      <c r="E95" s="13"/>
      <c r="F95" s="15">
        <f>Source!CA32</f>
        <v>95</v>
      </c>
      <c r="G95" s="13"/>
      <c r="H95" s="15">
        <f>Y95</f>
        <v>31.75</v>
      </c>
      <c r="I95" s="13" t="str">
        <f>Source!FW32</f>
        <v>((*0.8))</v>
      </c>
      <c r="J95" s="15">
        <f>Source!AU32</f>
        <v>76</v>
      </c>
      <c r="K95" s="15">
        <f>Source!Y32</f>
        <v>453.15</v>
      </c>
      <c r="L95" s="13"/>
      <c r="Y95">
        <f>ROUND((Source!FY32/100)*(ROUND((Source!CT32/IF(Source!BA32&lt;&gt;0,Source!BA32,1)*Source!I32),2)+ROUND((Source!CS32/IF(Source!BS32&lt;&gt;0,Source!BS32,1)*Source!I32),2)),2)</f>
        <v>31.75</v>
      </c>
    </row>
    <row r="96" spans="1:12" ht="15">
      <c r="A96" s="33"/>
      <c r="B96" s="33"/>
      <c r="C96" s="33" t="s">
        <v>322</v>
      </c>
      <c r="D96" s="34" t="s">
        <v>323</v>
      </c>
      <c r="E96" s="33">
        <f>Source!AQ32</f>
        <v>364.8</v>
      </c>
      <c r="F96" s="33"/>
      <c r="G96" s="35">
        <f>Source!DI32</f>
      </c>
      <c r="H96" s="33"/>
      <c r="I96" s="33"/>
      <c r="J96" s="33"/>
      <c r="K96" s="33"/>
      <c r="L96" s="36">
        <f>Source!U32</f>
        <v>3.648</v>
      </c>
    </row>
    <row r="97" spans="1:23" ht="15.75">
      <c r="A97" s="13"/>
      <c r="B97" s="13"/>
      <c r="C97" s="13"/>
      <c r="D97" s="13"/>
      <c r="E97" s="13"/>
      <c r="F97" s="13"/>
      <c r="G97" s="13"/>
      <c r="H97" s="37">
        <f>ROUND((Source!CT32/IF(Source!BA32&lt;&gt;0,Source!BA32,1)*Source!I32),2)+ROUND((Source!CR32/IF(Source!BB32&lt;&gt;0,Source!BB32,1)*Source!I32),2)+H93+H94+H95</f>
        <v>154.9</v>
      </c>
      <c r="I97" s="38"/>
      <c r="J97" s="38"/>
      <c r="K97" s="37">
        <f>Source!S32+Source!Q32+K93+K94+K95</f>
        <v>1903.0100000000002</v>
      </c>
      <c r="L97" s="37">
        <f>Source!U32</f>
        <v>3.648</v>
      </c>
      <c r="M97" s="31">
        <f>H97</f>
        <v>154.9</v>
      </c>
      <c r="N97">
        <f>ROUND((Source!CT32/IF(Source!BA32&lt;&gt;0,Source!BA32,1)*Source!I32),2)</f>
        <v>31.12</v>
      </c>
      <c r="O97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154.899414</v>
      </c>
      <c r="P97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97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97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S97">
        <f>IF(Source!BI32=1,Source!O32+Source!X32+Source!Y32,0)</f>
        <v>1903.0100000000002</v>
      </c>
      <c r="T97">
        <f>IF(Source!BI32=2,Source!O32+Source!X32+Source!Y32,0)</f>
        <v>0</v>
      </c>
      <c r="U97">
        <f>IF(Source!BI32=3,Source!O32+Source!X32+Source!Y32,0)</f>
        <v>0</v>
      </c>
      <c r="V97">
        <f>IF(Source!BI32=4,Source!O32+Source!X32+Source!Y32,0)</f>
        <v>0</v>
      </c>
      <c r="W97">
        <f>ROUND((Source!CS32/IF(Source!BS32&lt;&gt;0,Source!BS32,1)*Source!I32),2)</f>
        <v>2.3</v>
      </c>
    </row>
    <row r="98" spans="1:12" ht="60">
      <c r="A98" s="27" t="str">
        <f>Source!E33</f>
        <v>8</v>
      </c>
      <c r="B98" s="27" t="str">
        <f>Source!F33</f>
        <v>110-0243</v>
      </c>
      <c r="C98" s="28" t="str">
        <f>Source!G33</f>
        <v>Стойки металлические под дорожные знаки из круглых труб и гнутосварных профилей, массой до 0,01 т</v>
      </c>
      <c r="D98" s="29" t="str">
        <f>Source!H33</f>
        <v>т</v>
      </c>
      <c r="E98" s="13">
        <f>ROUND(Source!I33,6)</f>
        <v>0.03</v>
      </c>
      <c r="F98" s="15">
        <f>IF(Source!AK33&lt;&gt;0,Source!AK33,Source!AL33+Source!AM33+Source!AO33)</f>
        <v>11150.43</v>
      </c>
      <c r="G98" s="13"/>
      <c r="H98" s="13"/>
      <c r="I98" s="30" t="str">
        <f>IF(Source!BO33&lt;&gt;"",Source!BO33,"")</f>
        <v>110-0243</v>
      </c>
      <c r="J98" s="13"/>
      <c r="K98" s="13"/>
      <c r="L98" s="13"/>
    </row>
    <row r="99" spans="1:12" ht="15">
      <c r="A99" s="33"/>
      <c r="B99" s="33"/>
      <c r="C99" s="33" t="s">
        <v>319</v>
      </c>
      <c r="D99" s="33"/>
      <c r="E99" s="33"/>
      <c r="F99" s="36">
        <f>Source!AL33</f>
        <v>11150.43</v>
      </c>
      <c r="G99" s="35">
        <f>Source!DD33</f>
      </c>
      <c r="H99" s="36">
        <f>ROUND((Source!CQ33/IF(Source!BC33&lt;&gt;0,Source!BC33,1)*Source!I33),2)</f>
        <v>334.51</v>
      </c>
      <c r="I99" s="33"/>
      <c r="J99" s="33">
        <f>Source!BC33</f>
        <v>2.7</v>
      </c>
      <c r="K99" s="36">
        <f>Source!P33</f>
        <v>903.18</v>
      </c>
      <c r="L99" s="33"/>
    </row>
    <row r="100" spans="1:23" ht="15.75">
      <c r="A100" s="13"/>
      <c r="B100" s="13"/>
      <c r="C100" s="13"/>
      <c r="D100" s="13"/>
      <c r="E100" s="13"/>
      <c r="F100" s="13"/>
      <c r="G100" s="13"/>
      <c r="H100" s="37">
        <f>ROUND((Source!CT33/IF(Source!BA33&lt;&gt;0,Source!BA33,1)*Source!I33),2)+ROUND((Source!CR33/IF(Source!BB33&lt;&gt;0,Source!BB33,1)*Source!I33),2)+H99</f>
        <v>334.51</v>
      </c>
      <c r="I100" s="38"/>
      <c r="J100" s="38"/>
      <c r="K100" s="37">
        <f>Source!S33+Source!Q33+K99</f>
        <v>903.18</v>
      </c>
      <c r="L100" s="37">
        <f>Source!U33</f>
        <v>0</v>
      </c>
      <c r="M100" s="31">
        <f>H100</f>
        <v>334.51</v>
      </c>
      <c r="N100">
        <f>ROUND((Source!CT33/IF(Source!BA33&lt;&gt;0,Source!BA33,1)*Source!I33),2)</f>
        <v>0</v>
      </c>
      <c r="O100">
        <f>IF(Source!BI33=1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334.5129</v>
      </c>
      <c r="P100">
        <f>IF(Source!BI33=2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Q100">
        <f>IF(Source!BI33=3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R100">
        <f>IF(Source!BI33=4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S100">
        <f>IF(Source!BI33=1,Source!O33+Source!X33+Source!Y33,0)</f>
        <v>903.18</v>
      </c>
      <c r="T100">
        <f>IF(Source!BI33=2,Source!O33+Source!X33+Source!Y33,0)</f>
        <v>0</v>
      </c>
      <c r="U100">
        <f>IF(Source!BI33=3,Source!O33+Source!X33+Source!Y33,0)</f>
        <v>0</v>
      </c>
      <c r="V100">
        <f>IF(Source!BI33=4,Source!O33+Source!X33+Source!Y33,0)</f>
        <v>0</v>
      </c>
      <c r="W100">
        <f>ROUND((Source!CS33/IF(Source!BS33&lt;&gt;0,Source!BS33,1)*Source!I33),2)</f>
        <v>0</v>
      </c>
    </row>
    <row r="101" spans="1:12" ht="90">
      <c r="A101" s="27" t="str">
        <f>Source!E34</f>
        <v>9</v>
      </c>
      <c r="B101" s="27" t="str">
        <f>Source!F34</f>
        <v>101-4309</v>
      </c>
      <c r="C101" s="28" t="str">
        <f>Source!G34</f>
        <v>Знаки дорожные на оцинкованной подоснове со световозвращающей пленкой дополнительной информации, размером 350х700 мм, тип 8.1.1, 8.1.3-8.12, 8.14-8.21.3</v>
      </c>
      <c r="D101" s="29" t="str">
        <f>Source!H34</f>
        <v>шт.</v>
      </c>
      <c r="E101" s="13">
        <f>ROUND(Source!I34,6)</f>
        <v>1</v>
      </c>
      <c r="F101" s="15">
        <f>IF(Source!AK34&lt;&gt;0,Source!AK34,Source!AL34+Source!AM34+Source!AO34)</f>
        <v>313.1</v>
      </c>
      <c r="G101" s="13"/>
      <c r="H101" s="13"/>
      <c r="I101" s="30" t="str">
        <f>IF(Source!BO34&lt;&gt;"",Source!BO34,"")</f>
        <v>101-4309</v>
      </c>
      <c r="J101" s="13"/>
      <c r="K101" s="13"/>
      <c r="L101" s="13"/>
    </row>
    <row r="102" spans="1:12" ht="15">
      <c r="A102" s="33"/>
      <c r="B102" s="33"/>
      <c r="C102" s="33" t="s">
        <v>319</v>
      </c>
      <c r="D102" s="33"/>
      <c r="E102" s="33"/>
      <c r="F102" s="36">
        <f>Source!AL34</f>
        <v>313.1</v>
      </c>
      <c r="G102" s="35">
        <f>Source!DD34</f>
      </c>
      <c r="H102" s="36">
        <f>ROUND((Source!CQ34/IF(Source!BC34&lt;&gt;0,Source!BC34,1)*Source!I34),2)</f>
        <v>313.1</v>
      </c>
      <c r="I102" s="33"/>
      <c r="J102" s="33">
        <f>Source!BC34</f>
        <v>2.15</v>
      </c>
      <c r="K102" s="36">
        <f>Source!P34</f>
        <v>673.17</v>
      </c>
      <c r="L102" s="33"/>
    </row>
    <row r="103" spans="1:23" ht="15.75">
      <c r="A103" s="13"/>
      <c r="B103" s="13"/>
      <c r="C103" s="13"/>
      <c r="D103" s="13"/>
      <c r="E103" s="13"/>
      <c r="F103" s="13"/>
      <c r="G103" s="13"/>
      <c r="H103" s="37">
        <f>ROUND((Source!CT34/IF(Source!BA34&lt;&gt;0,Source!BA34,1)*Source!I34),2)+ROUND((Source!CR34/IF(Source!BB34&lt;&gt;0,Source!BB34,1)*Source!I34),2)+H102</f>
        <v>313.1</v>
      </c>
      <c r="I103" s="38"/>
      <c r="J103" s="38"/>
      <c r="K103" s="37">
        <f>Source!S34+Source!Q34+K102</f>
        <v>673.17</v>
      </c>
      <c r="L103" s="37">
        <f>Source!U34</f>
        <v>0</v>
      </c>
      <c r="M103" s="31">
        <f>H103</f>
        <v>313.1</v>
      </c>
      <c r="N103">
        <f>ROUND((Source!CT34/IF(Source!BA34&lt;&gt;0,Source!BA34,1)*Source!I34),2)</f>
        <v>0</v>
      </c>
      <c r="O103">
        <f>IF(Source!BI34=1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313.1</v>
      </c>
      <c r="P103">
        <f>IF(Source!BI34=2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Q103">
        <f>IF(Source!BI34=3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R103">
        <f>IF(Source!BI34=4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S103">
        <f>IF(Source!BI34=1,Source!O34+Source!X34+Source!Y34,0)</f>
        <v>673.17</v>
      </c>
      <c r="T103">
        <f>IF(Source!BI34=2,Source!O34+Source!X34+Source!Y34,0)</f>
        <v>0</v>
      </c>
      <c r="U103">
        <f>IF(Source!BI34=3,Source!O34+Source!X34+Source!Y34,0)</f>
        <v>0</v>
      </c>
      <c r="V103">
        <f>IF(Source!BI34=4,Source!O34+Source!X34+Source!Y34,0)</f>
        <v>0</v>
      </c>
      <c r="W103">
        <f>ROUND((Source!CS34/IF(Source!BS34&lt;&gt;0,Source!BS34,1)*Source!I34),2)</f>
        <v>0</v>
      </c>
    </row>
    <row r="105" spans="3:23" s="38" customFormat="1" ht="15.75">
      <c r="C105" s="38" t="s">
        <v>111</v>
      </c>
      <c r="G105" s="106">
        <f>SUM(M37:M104)</f>
        <v>20867.069999999996</v>
      </c>
      <c r="H105" s="106"/>
      <c r="J105" s="106">
        <f>ROUND(Source!AB22+Source!AK22+Source!AL22+Source!AE22*0/100,2)</f>
        <v>147335.71</v>
      </c>
      <c r="K105" s="106"/>
      <c r="L105" s="37">
        <f>Source!AH22</f>
        <v>140.26</v>
      </c>
      <c r="N105" s="37">
        <f aca="true" t="shared" si="0" ref="N105:W105">SUM(N37:N104)</f>
        <v>1170.6200000000001</v>
      </c>
      <c r="O105" s="37">
        <f t="shared" si="0"/>
        <v>20867.05564312</v>
      </c>
      <c r="P105" s="37">
        <f t="shared" si="0"/>
        <v>0</v>
      </c>
      <c r="Q105" s="37">
        <f t="shared" si="0"/>
        <v>0</v>
      </c>
      <c r="R105" s="37">
        <f t="shared" si="0"/>
        <v>0</v>
      </c>
      <c r="S105" s="37">
        <f t="shared" si="0"/>
        <v>147335.71</v>
      </c>
      <c r="T105" s="37">
        <f t="shared" si="0"/>
        <v>0</v>
      </c>
      <c r="U105" s="37">
        <f t="shared" si="0"/>
        <v>0</v>
      </c>
      <c r="V105" s="37">
        <f t="shared" si="0"/>
        <v>0</v>
      </c>
      <c r="W105" s="38">
        <f t="shared" si="0"/>
        <v>141.25</v>
      </c>
    </row>
    <row r="108" spans="3:23" s="43" customFormat="1" ht="18" hidden="1">
      <c r="C108" s="43" t="s">
        <v>324</v>
      </c>
      <c r="G108" s="97">
        <f>G105</f>
        <v>20867.069999999996</v>
      </c>
      <c r="H108" s="97"/>
      <c r="J108" s="97">
        <f>ROUND(Source!O36+Source!X36+Source!Y36+Source!R36*0/100,2)</f>
        <v>147335.71</v>
      </c>
      <c r="K108" s="97"/>
      <c r="L108" s="44">
        <f>Source!U36</f>
        <v>140.26</v>
      </c>
      <c r="N108" s="44">
        <f aca="true" t="shared" si="1" ref="N108:W108">N105</f>
        <v>1170.6200000000001</v>
      </c>
      <c r="O108" s="44">
        <f t="shared" si="1"/>
        <v>20867.05564312</v>
      </c>
      <c r="P108" s="44">
        <f t="shared" si="1"/>
        <v>0</v>
      </c>
      <c r="Q108" s="44">
        <f t="shared" si="1"/>
        <v>0</v>
      </c>
      <c r="R108" s="44">
        <f t="shared" si="1"/>
        <v>0</v>
      </c>
      <c r="S108" s="44">
        <f t="shared" si="1"/>
        <v>147335.71</v>
      </c>
      <c r="T108" s="44">
        <f t="shared" si="1"/>
        <v>0</v>
      </c>
      <c r="U108" s="44">
        <f t="shared" si="1"/>
        <v>0</v>
      </c>
      <c r="V108" s="44">
        <f t="shared" si="1"/>
        <v>0</v>
      </c>
      <c r="W108" s="43">
        <f t="shared" si="1"/>
        <v>141.25</v>
      </c>
    </row>
    <row r="110" spans="3:11" ht="18">
      <c r="C110" s="43"/>
      <c r="D110" s="98"/>
      <c r="E110" s="98"/>
      <c r="F110" s="98"/>
      <c r="G110" s="98"/>
      <c r="H110" s="98"/>
      <c r="I110" s="98"/>
      <c r="J110" s="98"/>
      <c r="K110" s="98"/>
    </row>
    <row r="111" spans="3:12" ht="18">
      <c r="C111" s="99" t="str">
        <f>Source!H67</f>
        <v>Итого</v>
      </c>
      <c r="D111" s="99"/>
      <c r="E111" s="99"/>
      <c r="F111" s="99"/>
      <c r="G111" s="99"/>
      <c r="H111" s="99"/>
      <c r="I111" s="99"/>
      <c r="J111" s="100">
        <f>Source!F67</f>
        <v>147335.71</v>
      </c>
      <c r="K111" s="101"/>
      <c r="L111" s="45"/>
    </row>
    <row r="112" spans="3:12" ht="18">
      <c r="C112" s="99" t="str">
        <f>Source!H68</f>
        <v>НДС 18%</v>
      </c>
      <c r="D112" s="99"/>
      <c r="E112" s="99"/>
      <c r="F112" s="99"/>
      <c r="G112" s="99"/>
      <c r="H112" s="99"/>
      <c r="I112" s="99"/>
      <c r="J112" s="100">
        <f>Source!F68</f>
        <v>26520.43</v>
      </c>
      <c r="K112" s="101"/>
      <c r="L112" s="45"/>
    </row>
    <row r="113" spans="1:12" ht="23.25">
      <c r="A113" s="75"/>
      <c r="B113" s="75"/>
      <c r="C113" s="108" t="str">
        <f>Source!H69</f>
        <v>ВСЕГО</v>
      </c>
      <c r="D113" s="108"/>
      <c r="E113" s="108"/>
      <c r="F113" s="108"/>
      <c r="G113" s="108"/>
      <c r="H113" s="108"/>
      <c r="I113" s="108"/>
      <c r="J113" s="109">
        <f>Source!F69</f>
        <v>173856.14</v>
      </c>
      <c r="K113" s="110"/>
      <c r="L113" s="75"/>
    </row>
    <row r="115" spans="3:23" s="43" customFormat="1" ht="18" hidden="1">
      <c r="C115" s="43" t="s">
        <v>325</v>
      </c>
      <c r="G115" s="97">
        <f>SUM(M1:M115)</f>
        <v>20867.069999999996</v>
      </c>
      <c r="H115" s="97"/>
      <c r="J115" s="97">
        <f>ROUND(Source!O18+Source!X18+Source!Y18+Source!R18*0/100,2)</f>
        <v>147335.71</v>
      </c>
      <c r="K115" s="97"/>
      <c r="L115" s="44">
        <f>Source!U18</f>
        <v>140.26</v>
      </c>
      <c r="N115" s="44">
        <f aca="true" t="shared" si="2" ref="N115:W115">N105</f>
        <v>1170.6200000000001</v>
      </c>
      <c r="O115" s="44">
        <f t="shared" si="2"/>
        <v>20867.05564312</v>
      </c>
      <c r="P115" s="44">
        <f t="shared" si="2"/>
        <v>0</v>
      </c>
      <c r="Q115" s="44">
        <f t="shared" si="2"/>
        <v>0</v>
      </c>
      <c r="R115" s="44">
        <f t="shared" si="2"/>
        <v>0</v>
      </c>
      <c r="S115" s="44">
        <f t="shared" si="2"/>
        <v>147335.71</v>
      </c>
      <c r="T115" s="44">
        <f t="shared" si="2"/>
        <v>0</v>
      </c>
      <c r="U115" s="44">
        <f t="shared" si="2"/>
        <v>0</v>
      </c>
      <c r="V115" s="44">
        <f t="shared" si="2"/>
        <v>0</v>
      </c>
      <c r="W115" s="43">
        <f t="shared" si="2"/>
        <v>141.25</v>
      </c>
    </row>
    <row r="116" spans="1:8" s="4" customFormat="1" ht="58.5" customHeight="1">
      <c r="A116" s="4" t="s">
        <v>326</v>
      </c>
      <c r="C116" s="46" t="str">
        <f>IF(Source!AO12&lt;&gt;"",Source!AO12," ")</f>
        <v> </v>
      </c>
      <c r="D116" s="46"/>
      <c r="E116" s="46"/>
      <c r="F116" s="46"/>
      <c r="G116" s="46"/>
      <c r="H116" s="4" t="str">
        <f>IF(Source!R12&lt;&gt;"",Source!R12," ")</f>
        <v> </v>
      </c>
    </row>
    <row r="117" spans="3:7" s="5" customFormat="1" ht="11.25">
      <c r="C117" s="107" t="s">
        <v>327</v>
      </c>
      <c r="D117" s="107"/>
      <c r="E117" s="107"/>
      <c r="F117" s="107"/>
      <c r="G117" s="107"/>
    </row>
    <row r="119" spans="1:8" s="4" customFormat="1" ht="12.75">
      <c r="A119" s="4" t="s">
        <v>328</v>
      </c>
      <c r="C119" s="46" t="str">
        <f>IF(Source!AP12&lt;&gt;"",Source!AP12," ")</f>
        <v> </v>
      </c>
      <c r="D119" s="46"/>
      <c r="E119" s="46"/>
      <c r="F119" s="46"/>
      <c r="G119" s="46"/>
      <c r="H119" s="4" t="str">
        <f>IF(Source!S12&lt;&gt;"",Source!S12," ")</f>
        <v> </v>
      </c>
    </row>
    <row r="120" spans="3:7" s="5" customFormat="1" ht="11.25">
      <c r="C120" s="107" t="s">
        <v>327</v>
      </c>
      <c r="D120" s="107"/>
      <c r="E120" s="107"/>
      <c r="F120" s="107"/>
      <c r="G120" s="107"/>
    </row>
  </sheetData>
  <sheetProtection/>
  <mergeCells count="43">
    <mergeCell ref="A11:L11"/>
    <mergeCell ref="A12:L12"/>
    <mergeCell ref="A15:L15"/>
    <mergeCell ref="F3:I3"/>
    <mergeCell ref="A5:B5"/>
    <mergeCell ref="F5:H5"/>
    <mergeCell ref="C5:D5"/>
    <mergeCell ref="I5:K5"/>
    <mergeCell ref="C7:D7"/>
    <mergeCell ref="H7:K7"/>
    <mergeCell ref="K27:L27"/>
    <mergeCell ref="B18:L18"/>
    <mergeCell ref="B19:L19"/>
    <mergeCell ref="A21:L21"/>
    <mergeCell ref="G24:H24"/>
    <mergeCell ref="I24:J24"/>
    <mergeCell ref="C25:F25"/>
    <mergeCell ref="G25:H25"/>
    <mergeCell ref="I25:J25"/>
    <mergeCell ref="K25:L25"/>
    <mergeCell ref="D110:K110"/>
    <mergeCell ref="C111:I111"/>
    <mergeCell ref="J111:K111"/>
    <mergeCell ref="C26:F26"/>
    <mergeCell ref="G26:H26"/>
    <mergeCell ref="I26:J26"/>
    <mergeCell ref="K26:L26"/>
    <mergeCell ref="C27:F27"/>
    <mergeCell ref="G27:H27"/>
    <mergeCell ref="I27:J27"/>
    <mergeCell ref="A29:C29"/>
    <mergeCell ref="J105:K105"/>
    <mergeCell ref="G105:H105"/>
    <mergeCell ref="J108:K108"/>
    <mergeCell ref="G108:H108"/>
    <mergeCell ref="C117:G117"/>
    <mergeCell ref="C120:G120"/>
    <mergeCell ref="C112:I112"/>
    <mergeCell ref="J112:K112"/>
    <mergeCell ref="J115:K115"/>
    <mergeCell ref="G115:H115"/>
    <mergeCell ref="C113:I113"/>
    <mergeCell ref="J113:K113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K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21405</v>
      </c>
    </row>
    <row r="12" spans="1:104" ht="12.75">
      <c r="A12" s="1">
        <v>1</v>
      </c>
      <c r="B12" s="1">
        <v>1</v>
      </c>
      <c r="C12" s="1">
        <v>0</v>
      </c>
      <c r="D12" s="1">
        <f>ROW(A52)</f>
        <v>52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2012</v>
      </c>
      <c r="Q12" s="1">
        <v>7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28180721</v>
      </c>
      <c r="BE12" s="1" t="s">
        <v>7</v>
      </c>
      <c r="BF12" s="1" t="s">
        <v>8</v>
      </c>
      <c r="BG12" s="1">
        <v>27738535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25390633</v>
      </c>
      <c r="CB12" s="1">
        <v>25390629</v>
      </c>
      <c r="CC12" s="1">
        <v>25390627</v>
      </c>
      <c r="CD12" s="1">
        <v>25390625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25421525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23115327</v>
      </c>
      <c r="CT12" s="1">
        <v>0</v>
      </c>
      <c r="CU12" s="1">
        <v>0</v>
      </c>
      <c r="CV12" s="1">
        <v>25732365</v>
      </c>
      <c r="CW12" s="1">
        <v>25732368</v>
      </c>
      <c r="CX12" s="1">
        <v>28009283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B52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Б130 1 Мая дом24 и Трудовые резервы дом 10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113881.36</v>
      </c>
      <c r="P18" s="2">
        <f t="shared" si="0"/>
        <v>85433.05</v>
      </c>
      <c r="Q18" s="2">
        <f t="shared" si="0"/>
        <v>7564.58</v>
      </c>
      <c r="R18" s="2">
        <f t="shared" si="0"/>
        <v>2519.95</v>
      </c>
      <c r="S18" s="2">
        <f t="shared" si="0"/>
        <v>20883.73</v>
      </c>
      <c r="T18" s="2">
        <f t="shared" si="0"/>
        <v>0</v>
      </c>
      <c r="U18" s="2">
        <f t="shared" si="0"/>
        <v>140.26</v>
      </c>
      <c r="V18" s="2">
        <f t="shared" si="0"/>
        <v>11.99</v>
      </c>
      <c r="W18" s="2">
        <f t="shared" si="0"/>
        <v>0</v>
      </c>
      <c r="X18" s="2">
        <f t="shared" si="0"/>
        <v>21474.62</v>
      </c>
      <c r="Y18" s="2">
        <f t="shared" si="0"/>
        <v>11979.73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ROW(A36)</f>
        <v>36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14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B36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113881.36</v>
      </c>
      <c r="P22" s="2">
        <f t="shared" si="1"/>
        <v>85433.05</v>
      </c>
      <c r="Q22" s="2">
        <f t="shared" si="1"/>
        <v>7564.58</v>
      </c>
      <c r="R22" s="2">
        <f t="shared" si="1"/>
        <v>2519.95</v>
      </c>
      <c r="S22" s="2">
        <f t="shared" si="1"/>
        <v>20883.73</v>
      </c>
      <c r="T22" s="2">
        <f t="shared" si="1"/>
        <v>0</v>
      </c>
      <c r="U22" s="2">
        <f t="shared" si="1"/>
        <v>140.26</v>
      </c>
      <c r="V22" s="2">
        <f t="shared" si="1"/>
        <v>11.99</v>
      </c>
      <c r="W22" s="2">
        <f t="shared" si="1"/>
        <v>0</v>
      </c>
      <c r="X22" s="2">
        <f t="shared" si="1"/>
        <v>21474.62</v>
      </c>
      <c r="Y22" s="2">
        <f t="shared" si="1"/>
        <v>11979.73</v>
      </c>
      <c r="Z22" s="2">
        <f t="shared" si="1"/>
        <v>0</v>
      </c>
      <c r="AA22" s="2">
        <f t="shared" si="1"/>
        <v>0</v>
      </c>
      <c r="AB22" s="2">
        <f t="shared" si="1"/>
        <v>113881.36</v>
      </c>
      <c r="AC22" s="2">
        <f t="shared" si="1"/>
        <v>85433.05</v>
      </c>
      <c r="AD22" s="2">
        <f t="shared" si="1"/>
        <v>7564.58</v>
      </c>
      <c r="AE22" s="2">
        <f t="shared" si="1"/>
        <v>2519.95</v>
      </c>
      <c r="AF22" s="2">
        <f t="shared" si="1"/>
        <v>20883.73</v>
      </c>
      <c r="AG22" s="2">
        <f t="shared" si="1"/>
        <v>0</v>
      </c>
      <c r="AH22" s="2">
        <f t="shared" si="1"/>
        <v>140.26</v>
      </c>
      <c r="AI22" s="2">
        <f t="shared" si="1"/>
        <v>11.99</v>
      </c>
      <c r="AJ22" s="2">
        <f t="shared" si="1"/>
        <v>0</v>
      </c>
      <c r="AK22" s="2">
        <f t="shared" si="1"/>
        <v>21474.62</v>
      </c>
      <c r="AL22" s="2">
        <f t="shared" si="1"/>
        <v>11979.73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93" ht="12.75">
      <c r="A24">
        <v>17</v>
      </c>
      <c r="B24">
        <v>1</v>
      </c>
      <c r="C24">
        <f>ROW(SmtRes!A10)</f>
        <v>10</v>
      </c>
      <c r="D24">
        <f>ROW(EtalonRes!A10)</f>
        <v>10</v>
      </c>
      <c r="E24" t="s">
        <v>15</v>
      </c>
      <c r="F24" t="s">
        <v>16</v>
      </c>
      <c r="G24" t="s">
        <v>17</v>
      </c>
      <c r="H24" t="s">
        <v>18</v>
      </c>
      <c r="I24">
        <v>1.002</v>
      </c>
      <c r="J24">
        <v>0</v>
      </c>
      <c r="O24">
        <f aca="true" t="shared" si="2" ref="O24:O34">ROUND(CP24,2)</f>
        <v>64001.21</v>
      </c>
      <c r="P24">
        <f aca="true" t="shared" si="3" ref="P24:P34">ROUND(CQ24*I24,2)</f>
        <v>40716.85</v>
      </c>
      <c r="Q24">
        <f aca="true" t="shared" si="4" ref="Q24:Q34">ROUND(CR24*I24,2)</f>
        <v>4002.94</v>
      </c>
      <c r="R24">
        <f aca="true" t="shared" si="5" ref="R24:R34">ROUND(CS24*I24,2)</f>
        <v>1446.5</v>
      </c>
      <c r="S24">
        <f aca="true" t="shared" si="6" ref="S24:S34">ROUND(CT24*I24,2)</f>
        <v>19281.42</v>
      </c>
      <c r="T24">
        <f aca="true" t="shared" si="7" ref="T24:T34">ROUND(CU24*I24,2)</f>
        <v>0</v>
      </c>
      <c r="U24">
        <f aca="true" t="shared" si="8" ref="U24:U34">CV24*I24</f>
        <v>130.05960000000002</v>
      </c>
      <c r="V24">
        <f aca="true" t="shared" si="9" ref="V24:V34">CW24*I24</f>
        <v>7.5350399999999995</v>
      </c>
      <c r="W24">
        <f aca="true" t="shared" si="10" ref="W24:W34">ROUND(CX24*I24,2)</f>
        <v>0</v>
      </c>
      <c r="X24">
        <f aca="true" t="shared" si="11" ref="X24:X34">ROUND(CY24,2)</f>
        <v>18240.57</v>
      </c>
      <c r="Y24">
        <f aca="true" t="shared" si="12" ref="Y24:Y34">ROUND(CZ24,2)</f>
        <v>9949.4</v>
      </c>
      <c r="AA24">
        <v>0</v>
      </c>
      <c r="AB24">
        <f aca="true" t="shared" si="13" ref="AB24:AB34">(AC24+AD24+AF24)</f>
        <v>9362.5</v>
      </c>
      <c r="AC24">
        <f aca="true" t="shared" si="14" ref="AC24:AF26">(ES24)</f>
        <v>7769.71</v>
      </c>
      <c r="AD24">
        <f t="shared" si="14"/>
        <v>514.15</v>
      </c>
      <c r="AE24">
        <f t="shared" si="14"/>
        <v>80.92</v>
      </c>
      <c r="AF24">
        <f t="shared" si="14"/>
        <v>1078.64</v>
      </c>
      <c r="AG24">
        <f>(AP24)</f>
        <v>0</v>
      </c>
      <c r="AH24">
        <f aca="true" t="shared" si="15" ref="AH24:AI26">(EW24)</f>
        <v>129.8</v>
      </c>
      <c r="AI24">
        <f t="shared" si="15"/>
        <v>7.52</v>
      </c>
      <c r="AJ24">
        <f>(AS24)</f>
        <v>0</v>
      </c>
      <c r="AK24">
        <v>9362.5</v>
      </c>
      <c r="AL24">
        <v>7769.71</v>
      </c>
      <c r="AM24">
        <v>514.15</v>
      </c>
      <c r="AN24">
        <v>80.92</v>
      </c>
      <c r="AO24">
        <v>1078.64</v>
      </c>
      <c r="AP24">
        <v>0</v>
      </c>
      <c r="AQ24">
        <v>129.8</v>
      </c>
      <c r="AR24">
        <v>7.52</v>
      </c>
      <c r="AS24">
        <v>0</v>
      </c>
      <c r="AT24">
        <v>88</v>
      </c>
      <c r="AU24">
        <v>48</v>
      </c>
      <c r="AV24">
        <v>1</v>
      </c>
      <c r="AW24">
        <v>1</v>
      </c>
      <c r="AX24">
        <v>1</v>
      </c>
      <c r="AY24">
        <v>1</v>
      </c>
      <c r="AZ24">
        <v>8.17</v>
      </c>
      <c r="BA24">
        <v>17.84</v>
      </c>
      <c r="BB24">
        <v>7.77</v>
      </c>
      <c r="BC24">
        <v>5.23</v>
      </c>
      <c r="BH24">
        <v>0</v>
      </c>
      <c r="BI24">
        <v>1</v>
      </c>
      <c r="BJ24" t="s">
        <v>19</v>
      </c>
      <c r="BM24">
        <v>68001</v>
      </c>
      <c r="BN24">
        <v>0</v>
      </c>
      <c r="BO24" t="s">
        <v>16</v>
      </c>
      <c r="BP24">
        <v>1</v>
      </c>
      <c r="BQ24">
        <v>6</v>
      </c>
      <c r="BR24">
        <v>0</v>
      </c>
      <c r="BS24">
        <v>17.84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104</v>
      </c>
      <c r="CA24">
        <v>60</v>
      </c>
      <c r="CF24">
        <v>0</v>
      </c>
      <c r="CG24">
        <v>0</v>
      </c>
      <c r="CM24">
        <v>0</v>
      </c>
      <c r="CO24">
        <v>0</v>
      </c>
      <c r="CP24">
        <f aca="true" t="shared" si="16" ref="CP24:CP34">(P24+Q24+S24)</f>
        <v>64001.21</v>
      </c>
      <c r="CQ24">
        <f aca="true" t="shared" si="17" ref="CQ24:CQ34">(AC24)*BC24</f>
        <v>40635.583300000006</v>
      </c>
      <c r="CR24">
        <f aca="true" t="shared" si="18" ref="CR24:CR34">(AD24)*BB24</f>
        <v>3994.9455</v>
      </c>
      <c r="CS24">
        <f aca="true" t="shared" si="19" ref="CS24:CS34">(AE24)*BS24</f>
        <v>1443.6128</v>
      </c>
      <c r="CT24">
        <f aca="true" t="shared" si="20" ref="CT24:CT34">(AF24)*BA24</f>
        <v>19242.9376</v>
      </c>
      <c r="CU24">
        <f aca="true" t="shared" si="21" ref="CU24:CU34">(AG24)*BT24</f>
        <v>0</v>
      </c>
      <c r="CV24">
        <f aca="true" t="shared" si="22" ref="CV24:CV34">(AH24)*BU24</f>
        <v>129.8</v>
      </c>
      <c r="CW24">
        <f aca="true" t="shared" si="23" ref="CW24:CW34">(AI24)*BV24</f>
        <v>7.52</v>
      </c>
      <c r="CX24">
        <f aca="true" t="shared" si="24" ref="CX24:CX34">(AJ24)*BW24</f>
        <v>0</v>
      </c>
      <c r="CY24">
        <f aca="true" t="shared" si="25" ref="CY24:CY32">((S24+R24)*(ROUND((FX24*IF(1,(IF(0,0.94,0.85)*IF(0,0.85,1)),1)),IF(1,0,2))/100))</f>
        <v>18240.5696</v>
      </c>
      <c r="CZ24">
        <f aca="true" t="shared" si="26" ref="CZ24:CZ32">((S24+R24)*(ROUND((FY24*IF(1,0.8,1)),IF(1,0,2))/100))</f>
        <v>9949.4016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18</v>
      </c>
      <c r="DW24" t="s">
        <v>18</v>
      </c>
      <c r="DX24">
        <v>100</v>
      </c>
      <c r="EE24">
        <v>27738802</v>
      </c>
      <c r="EF24">
        <v>6</v>
      </c>
      <c r="EG24" t="s">
        <v>20</v>
      </c>
      <c r="EH24">
        <v>0</v>
      </c>
      <c r="EJ24">
        <v>1</v>
      </c>
      <c r="EK24">
        <v>68001</v>
      </c>
      <c r="EL24" t="s">
        <v>21</v>
      </c>
      <c r="EM24" t="s">
        <v>22</v>
      </c>
      <c r="EQ24">
        <v>0</v>
      </c>
      <c r="ER24">
        <v>9362.5</v>
      </c>
      <c r="ES24">
        <v>7769.71</v>
      </c>
      <c r="ET24">
        <v>514.15</v>
      </c>
      <c r="EU24">
        <v>80.92</v>
      </c>
      <c r="EV24">
        <v>1078.64</v>
      </c>
      <c r="EW24">
        <v>129.8</v>
      </c>
      <c r="EX24">
        <v>7.52</v>
      </c>
      <c r="EY24">
        <v>0</v>
      </c>
      <c r="EZ24">
        <v>0</v>
      </c>
      <c r="FQ24">
        <v>0</v>
      </c>
      <c r="FR24">
        <f aca="true" t="shared" si="27" ref="FR24:FR34">ROUND(IF(AND(AA24=0,BI24=3),P24,0),2)</f>
        <v>0</v>
      </c>
      <c r="FS24">
        <v>0</v>
      </c>
      <c r="FV24" t="s">
        <v>23</v>
      </c>
      <c r="FW24" t="s">
        <v>24</v>
      </c>
      <c r="FX24">
        <v>104</v>
      </c>
      <c r="FY24">
        <v>60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</row>
    <row r="25" spans="1:193" ht="12.75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25</v>
      </c>
      <c r="F25" t="s">
        <v>26</v>
      </c>
      <c r="G25" t="s">
        <v>27</v>
      </c>
      <c r="H25" t="s">
        <v>28</v>
      </c>
      <c r="I25">
        <v>0.0988</v>
      </c>
      <c r="J25">
        <v>0</v>
      </c>
      <c r="O25">
        <f t="shared" si="2"/>
        <v>25.36</v>
      </c>
      <c r="P25">
        <f t="shared" si="3"/>
        <v>0</v>
      </c>
      <c r="Q25">
        <f t="shared" si="4"/>
        <v>25.36</v>
      </c>
      <c r="R25">
        <f t="shared" si="5"/>
        <v>9.04</v>
      </c>
      <c r="S25">
        <f t="shared" si="6"/>
        <v>0</v>
      </c>
      <c r="T25">
        <f t="shared" si="7"/>
        <v>0</v>
      </c>
      <c r="U25">
        <f t="shared" si="8"/>
        <v>0</v>
      </c>
      <c r="V25">
        <f t="shared" si="9"/>
        <v>0.037544</v>
      </c>
      <c r="W25">
        <f t="shared" si="10"/>
        <v>0</v>
      </c>
      <c r="X25">
        <f t="shared" si="11"/>
        <v>7.32</v>
      </c>
      <c r="Y25">
        <f t="shared" si="12"/>
        <v>3.62</v>
      </c>
      <c r="AA25">
        <v>0</v>
      </c>
      <c r="AB25">
        <f t="shared" si="13"/>
        <v>23.29</v>
      </c>
      <c r="AC25">
        <f t="shared" si="14"/>
        <v>0</v>
      </c>
      <c r="AD25">
        <f t="shared" si="14"/>
        <v>23.29</v>
      </c>
      <c r="AE25">
        <f t="shared" si="14"/>
        <v>5.13</v>
      </c>
      <c r="AF25">
        <f t="shared" si="14"/>
        <v>0</v>
      </c>
      <c r="AG25">
        <f>(AP25)</f>
        <v>0</v>
      </c>
      <c r="AH25">
        <f t="shared" si="15"/>
        <v>0</v>
      </c>
      <c r="AI25">
        <f t="shared" si="15"/>
        <v>0.38</v>
      </c>
      <c r="AJ25">
        <f>(AS25)</f>
        <v>0</v>
      </c>
      <c r="AK25">
        <v>23.29</v>
      </c>
      <c r="AL25">
        <v>0</v>
      </c>
      <c r="AM25">
        <v>23.29</v>
      </c>
      <c r="AN25">
        <v>5.13</v>
      </c>
      <c r="AO25">
        <v>0</v>
      </c>
      <c r="AP25">
        <v>0</v>
      </c>
      <c r="AQ25">
        <v>0</v>
      </c>
      <c r="AR25">
        <v>0.38</v>
      </c>
      <c r="AS25">
        <v>0</v>
      </c>
      <c r="AT25">
        <v>81</v>
      </c>
      <c r="AU25">
        <v>40</v>
      </c>
      <c r="AV25">
        <v>1</v>
      </c>
      <c r="AW25">
        <v>1</v>
      </c>
      <c r="AX25">
        <v>1</v>
      </c>
      <c r="AY25">
        <v>1</v>
      </c>
      <c r="AZ25">
        <v>11.95</v>
      </c>
      <c r="BA25">
        <v>17.84</v>
      </c>
      <c r="BB25">
        <v>11.02</v>
      </c>
      <c r="BC25">
        <v>1</v>
      </c>
      <c r="BH25">
        <v>0</v>
      </c>
      <c r="BI25">
        <v>1</v>
      </c>
      <c r="BJ25" t="s">
        <v>29</v>
      </c>
      <c r="BM25">
        <v>1001</v>
      </c>
      <c r="BN25">
        <v>0</v>
      </c>
      <c r="BO25" t="s">
        <v>26</v>
      </c>
      <c r="BP25">
        <v>1</v>
      </c>
      <c r="BQ25">
        <v>2</v>
      </c>
      <c r="BR25">
        <v>0</v>
      </c>
      <c r="BS25">
        <v>17.84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95</v>
      </c>
      <c r="CA25">
        <v>50</v>
      </c>
      <c r="CF25">
        <v>0</v>
      </c>
      <c r="CG25">
        <v>0</v>
      </c>
      <c r="CM25">
        <v>0</v>
      </c>
      <c r="CO25">
        <v>0</v>
      </c>
      <c r="CP25">
        <f t="shared" si="16"/>
        <v>25.36</v>
      </c>
      <c r="CQ25">
        <f t="shared" si="17"/>
        <v>0</v>
      </c>
      <c r="CR25">
        <f t="shared" si="18"/>
        <v>256.6558</v>
      </c>
      <c r="CS25">
        <f t="shared" si="19"/>
        <v>91.5192</v>
      </c>
      <c r="CT25">
        <f t="shared" si="20"/>
        <v>0</v>
      </c>
      <c r="CU25">
        <f t="shared" si="21"/>
        <v>0</v>
      </c>
      <c r="CV25">
        <f t="shared" si="22"/>
        <v>0</v>
      </c>
      <c r="CW25">
        <f t="shared" si="23"/>
        <v>0.38</v>
      </c>
      <c r="CX25">
        <f t="shared" si="24"/>
        <v>0</v>
      </c>
      <c r="CY25">
        <f t="shared" si="25"/>
        <v>7.3224</v>
      </c>
      <c r="CZ25">
        <f t="shared" si="26"/>
        <v>3.6159999999999997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28</v>
      </c>
      <c r="DW25" t="s">
        <v>30</v>
      </c>
      <c r="DX25">
        <v>1000</v>
      </c>
      <c r="EE25">
        <v>27738650</v>
      </c>
      <c r="EF25">
        <v>2</v>
      </c>
      <c r="EG25" t="s">
        <v>31</v>
      </c>
      <c r="EH25">
        <v>0</v>
      </c>
      <c r="EJ25">
        <v>1</v>
      </c>
      <c r="EK25">
        <v>1001</v>
      </c>
      <c r="EL25" t="s">
        <v>32</v>
      </c>
      <c r="EM25" t="s">
        <v>33</v>
      </c>
      <c r="EQ25">
        <v>0</v>
      </c>
      <c r="ER25">
        <v>23.29</v>
      </c>
      <c r="ES25">
        <v>0</v>
      </c>
      <c r="ET25">
        <v>23.29</v>
      </c>
      <c r="EU25">
        <v>5.13</v>
      </c>
      <c r="EV25">
        <v>0</v>
      </c>
      <c r="EW25">
        <v>0</v>
      </c>
      <c r="EX25">
        <v>0.38</v>
      </c>
      <c r="EY25">
        <v>0</v>
      </c>
      <c r="EZ25">
        <v>0</v>
      </c>
      <c r="FQ25">
        <v>0</v>
      </c>
      <c r="FR25">
        <f t="shared" si="27"/>
        <v>0</v>
      </c>
      <c r="FS25">
        <v>0</v>
      </c>
      <c r="FV25" t="s">
        <v>23</v>
      </c>
      <c r="FW25" t="s">
        <v>24</v>
      </c>
      <c r="FX25">
        <v>95</v>
      </c>
      <c r="FY25">
        <v>50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</row>
    <row r="26" spans="1:193" ht="12.75">
      <c r="A26">
        <v>17</v>
      </c>
      <c r="B26">
        <v>1</v>
      </c>
      <c r="C26">
        <f>ROW(SmtRes!A20)</f>
        <v>20</v>
      </c>
      <c r="D26">
        <f>ROW(EtalonRes!A20)</f>
        <v>20</v>
      </c>
      <c r="E26" t="s">
        <v>34</v>
      </c>
      <c r="F26" t="s">
        <v>35</v>
      </c>
      <c r="G26" t="s">
        <v>36</v>
      </c>
      <c r="H26" t="s">
        <v>37</v>
      </c>
      <c r="I26">
        <f>98.8*0.1/100</f>
        <v>0.09880000000000001</v>
      </c>
      <c r="J26">
        <v>0</v>
      </c>
      <c r="O26">
        <f t="shared" si="2"/>
        <v>1478.79</v>
      </c>
      <c r="P26">
        <f t="shared" si="3"/>
        <v>5.97</v>
      </c>
      <c r="Q26">
        <f t="shared" si="4"/>
        <v>1250.61</v>
      </c>
      <c r="R26">
        <f t="shared" si="5"/>
        <v>312.91</v>
      </c>
      <c r="S26">
        <f t="shared" si="6"/>
        <v>222.21</v>
      </c>
      <c r="T26">
        <f t="shared" si="7"/>
        <v>0</v>
      </c>
      <c r="U26">
        <f t="shared" si="8"/>
        <v>1.5531360000000003</v>
      </c>
      <c r="V26">
        <f t="shared" si="9"/>
        <v>1.3713440000000003</v>
      </c>
      <c r="W26">
        <f t="shared" si="10"/>
        <v>0</v>
      </c>
      <c r="X26">
        <f t="shared" si="11"/>
        <v>647.5</v>
      </c>
      <c r="Y26">
        <f t="shared" si="12"/>
        <v>406.69</v>
      </c>
      <c r="AA26">
        <v>0</v>
      </c>
      <c r="AB26">
        <f t="shared" si="13"/>
        <v>2324.46</v>
      </c>
      <c r="AC26">
        <f t="shared" si="14"/>
        <v>12.2</v>
      </c>
      <c r="AD26">
        <f t="shared" si="14"/>
        <v>2186.19</v>
      </c>
      <c r="AE26">
        <f t="shared" si="14"/>
        <v>177.53</v>
      </c>
      <c r="AF26">
        <f t="shared" si="14"/>
        <v>126.07</v>
      </c>
      <c r="AG26">
        <f>(AP26)</f>
        <v>0</v>
      </c>
      <c r="AH26">
        <f t="shared" si="15"/>
        <v>15.72</v>
      </c>
      <c r="AI26">
        <f t="shared" si="15"/>
        <v>13.88</v>
      </c>
      <c r="AJ26">
        <f>(AS26)</f>
        <v>0</v>
      </c>
      <c r="AK26">
        <v>2324.46</v>
      </c>
      <c r="AL26">
        <v>12.2</v>
      </c>
      <c r="AM26">
        <v>2186.19</v>
      </c>
      <c r="AN26">
        <v>177.53</v>
      </c>
      <c r="AO26">
        <v>126.07</v>
      </c>
      <c r="AP26">
        <v>0</v>
      </c>
      <c r="AQ26">
        <v>15.72</v>
      </c>
      <c r="AR26">
        <v>13.88</v>
      </c>
      <c r="AS26">
        <v>0</v>
      </c>
      <c r="AT26">
        <v>121</v>
      </c>
      <c r="AU26">
        <v>76</v>
      </c>
      <c r="AV26">
        <v>1</v>
      </c>
      <c r="AW26">
        <v>1</v>
      </c>
      <c r="AX26">
        <v>1</v>
      </c>
      <c r="AY26">
        <v>1</v>
      </c>
      <c r="AZ26">
        <v>8.43</v>
      </c>
      <c r="BA26">
        <v>17.84</v>
      </c>
      <c r="BB26">
        <v>5.79</v>
      </c>
      <c r="BC26">
        <v>4.95</v>
      </c>
      <c r="BH26">
        <v>0</v>
      </c>
      <c r="BI26">
        <v>1</v>
      </c>
      <c r="BJ26" t="s">
        <v>38</v>
      </c>
      <c r="BM26">
        <v>27001</v>
      </c>
      <c r="BN26">
        <v>0</v>
      </c>
      <c r="BO26" t="s">
        <v>35</v>
      </c>
      <c r="BP26">
        <v>1</v>
      </c>
      <c r="BQ26">
        <v>2</v>
      </c>
      <c r="BR26">
        <v>0</v>
      </c>
      <c r="BS26">
        <v>17.84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142</v>
      </c>
      <c r="CA26">
        <v>95</v>
      </c>
      <c r="CF26">
        <v>0</v>
      </c>
      <c r="CG26">
        <v>0</v>
      </c>
      <c r="CM26">
        <v>0</v>
      </c>
      <c r="CO26">
        <v>0</v>
      </c>
      <c r="CP26">
        <f t="shared" si="16"/>
        <v>1478.79</v>
      </c>
      <c r="CQ26">
        <f t="shared" si="17"/>
        <v>60.39</v>
      </c>
      <c r="CR26">
        <f t="shared" si="18"/>
        <v>12658.0401</v>
      </c>
      <c r="CS26">
        <f t="shared" si="19"/>
        <v>3167.1352</v>
      </c>
      <c r="CT26">
        <f t="shared" si="20"/>
        <v>2249.0888</v>
      </c>
      <c r="CU26">
        <f t="shared" si="21"/>
        <v>0</v>
      </c>
      <c r="CV26">
        <f t="shared" si="22"/>
        <v>15.72</v>
      </c>
      <c r="CW26">
        <f t="shared" si="23"/>
        <v>13.88</v>
      </c>
      <c r="CX26">
        <f t="shared" si="24"/>
        <v>0</v>
      </c>
      <c r="CY26">
        <f t="shared" si="25"/>
        <v>647.4952</v>
      </c>
      <c r="CZ26">
        <f t="shared" si="26"/>
        <v>406.6912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1007</v>
      </c>
      <c r="DV26" t="s">
        <v>37</v>
      </c>
      <c r="DW26" t="s">
        <v>39</v>
      </c>
      <c r="DX26">
        <v>100</v>
      </c>
      <c r="EE26">
        <v>27738717</v>
      </c>
      <c r="EF26">
        <v>2</v>
      </c>
      <c r="EG26" t="s">
        <v>31</v>
      </c>
      <c r="EH26">
        <v>0</v>
      </c>
      <c r="EJ26">
        <v>1</v>
      </c>
      <c r="EK26">
        <v>27001</v>
      </c>
      <c r="EL26" t="s">
        <v>40</v>
      </c>
      <c r="EM26" t="s">
        <v>41</v>
      </c>
      <c r="EQ26">
        <v>0</v>
      </c>
      <c r="ER26">
        <v>2324.46</v>
      </c>
      <c r="ES26">
        <v>12.2</v>
      </c>
      <c r="ET26">
        <v>2186.19</v>
      </c>
      <c r="EU26">
        <v>177.53</v>
      </c>
      <c r="EV26">
        <v>126.07</v>
      </c>
      <c r="EW26">
        <v>15.72</v>
      </c>
      <c r="EX26">
        <v>13.88</v>
      </c>
      <c r="EY26">
        <v>0</v>
      </c>
      <c r="EZ26">
        <v>0</v>
      </c>
      <c r="FQ26">
        <v>0</v>
      </c>
      <c r="FR26">
        <f t="shared" si="27"/>
        <v>0</v>
      </c>
      <c r="FS26">
        <v>0</v>
      </c>
      <c r="FV26" t="s">
        <v>23</v>
      </c>
      <c r="FW26" t="s">
        <v>24</v>
      </c>
      <c r="FX26">
        <v>142</v>
      </c>
      <c r="FY26">
        <v>95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</row>
    <row r="27" spans="1:193" ht="12.75">
      <c r="A27">
        <v>18</v>
      </c>
      <c r="B27">
        <v>1</v>
      </c>
      <c r="C27">
        <v>19</v>
      </c>
      <c r="E27" t="s">
        <v>42</v>
      </c>
      <c r="F27" t="s">
        <v>43</v>
      </c>
      <c r="G27" t="s">
        <v>44</v>
      </c>
      <c r="H27" t="s">
        <v>45</v>
      </c>
      <c r="I27">
        <f>I26*J27</f>
        <v>10.868</v>
      </c>
      <c r="J27">
        <v>109.99999999999999</v>
      </c>
      <c r="O27">
        <f t="shared" si="2"/>
        <v>5555.23</v>
      </c>
      <c r="P27">
        <f t="shared" si="3"/>
        <v>5555.23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55.26</v>
      </c>
      <c r="AC27">
        <f aca="true" t="shared" si="28" ref="AC27:AJ27">AL27</f>
        <v>55.26</v>
      </c>
      <c r="AD27">
        <f t="shared" si="28"/>
        <v>0</v>
      </c>
      <c r="AE27">
        <f t="shared" si="28"/>
        <v>0</v>
      </c>
      <c r="AF27">
        <f t="shared" si="28"/>
        <v>0</v>
      </c>
      <c r="AG27">
        <f t="shared" si="28"/>
        <v>0</v>
      </c>
      <c r="AH27">
        <f t="shared" si="28"/>
        <v>0</v>
      </c>
      <c r="AI27">
        <f t="shared" si="28"/>
        <v>0</v>
      </c>
      <c r="AJ27">
        <f t="shared" si="28"/>
        <v>0</v>
      </c>
      <c r="AK27">
        <v>55.26</v>
      </c>
      <c r="AL27">
        <v>55.26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121</v>
      </c>
      <c r="AU27">
        <v>76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9.25</v>
      </c>
      <c r="BH27">
        <v>3</v>
      </c>
      <c r="BI27">
        <v>1</v>
      </c>
      <c r="BJ27" t="s">
        <v>46</v>
      </c>
      <c r="BM27">
        <v>27001</v>
      </c>
      <c r="BN27">
        <v>0</v>
      </c>
      <c r="BO27" t="s">
        <v>43</v>
      </c>
      <c r="BP27">
        <v>1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142</v>
      </c>
      <c r="CA27">
        <v>95</v>
      </c>
      <c r="CF27">
        <v>0</v>
      </c>
      <c r="CG27">
        <v>0</v>
      </c>
      <c r="CM27">
        <v>0</v>
      </c>
      <c r="CO27">
        <v>0</v>
      </c>
      <c r="CP27">
        <f t="shared" si="16"/>
        <v>5555.23</v>
      </c>
      <c r="CQ27">
        <f t="shared" si="17"/>
        <v>511.155</v>
      </c>
      <c r="CR27">
        <f t="shared" si="18"/>
        <v>0</v>
      </c>
      <c r="CS27">
        <f t="shared" si="19"/>
        <v>0</v>
      </c>
      <c r="CT27">
        <f t="shared" si="20"/>
        <v>0</v>
      </c>
      <c r="CU27">
        <f t="shared" si="21"/>
        <v>0</v>
      </c>
      <c r="CV27">
        <f t="shared" si="22"/>
        <v>0</v>
      </c>
      <c r="CW27">
        <f t="shared" si="23"/>
        <v>0</v>
      </c>
      <c r="CX27">
        <f t="shared" si="24"/>
        <v>0</v>
      </c>
      <c r="CY27">
        <f t="shared" si="25"/>
        <v>0</v>
      </c>
      <c r="CZ27">
        <f t="shared" si="26"/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1007</v>
      </c>
      <c r="DV27" t="s">
        <v>45</v>
      </c>
      <c r="DW27" t="s">
        <v>45</v>
      </c>
      <c r="DX27">
        <v>1</v>
      </c>
      <c r="EE27">
        <v>27738717</v>
      </c>
      <c r="EF27">
        <v>2</v>
      </c>
      <c r="EG27" t="s">
        <v>31</v>
      </c>
      <c r="EH27">
        <v>0</v>
      </c>
      <c r="EJ27">
        <v>1</v>
      </c>
      <c r="EK27">
        <v>27001</v>
      </c>
      <c r="EL27" t="s">
        <v>40</v>
      </c>
      <c r="EM27" t="s">
        <v>41</v>
      </c>
      <c r="EQ27">
        <v>0</v>
      </c>
      <c r="ER27">
        <v>55.26</v>
      </c>
      <c r="ES27">
        <v>55.26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27"/>
        <v>0</v>
      </c>
      <c r="FS27">
        <v>0</v>
      </c>
      <c r="FV27" t="s">
        <v>23</v>
      </c>
      <c r="FW27" t="s">
        <v>24</v>
      </c>
      <c r="FX27">
        <v>142</v>
      </c>
      <c r="FY27">
        <v>95</v>
      </c>
      <c r="GA27">
        <v>55.26</v>
      </c>
      <c r="GB27">
        <v>55.26</v>
      </c>
      <c r="GC27">
        <v>0</v>
      </c>
      <c r="GD27">
        <v>0</v>
      </c>
      <c r="GE27">
        <v>0</v>
      </c>
      <c r="GF27">
        <v>55.26</v>
      </c>
      <c r="GG27">
        <v>55.26</v>
      </c>
      <c r="GH27">
        <v>0</v>
      </c>
      <c r="GI27">
        <v>0</v>
      </c>
      <c r="GJ27">
        <v>0</v>
      </c>
      <c r="GK27">
        <v>0</v>
      </c>
    </row>
    <row r="28" spans="1:193" ht="12.75">
      <c r="A28">
        <v>17</v>
      </c>
      <c r="B28">
        <v>1</v>
      </c>
      <c r="C28">
        <f>ROW(SmtRes!A29)</f>
        <v>29</v>
      </c>
      <c r="D28">
        <f>ROW(EtalonRes!A29)</f>
        <v>29</v>
      </c>
      <c r="E28" t="s">
        <v>47</v>
      </c>
      <c r="F28" t="s">
        <v>48</v>
      </c>
      <c r="G28" t="s">
        <v>49</v>
      </c>
      <c r="H28" t="s">
        <v>37</v>
      </c>
      <c r="I28">
        <f>98.8*0.05/100</f>
        <v>0.049400000000000006</v>
      </c>
      <c r="J28">
        <v>0</v>
      </c>
      <c r="O28">
        <f t="shared" si="2"/>
        <v>1174.23</v>
      </c>
      <c r="P28">
        <f t="shared" si="3"/>
        <v>4.18</v>
      </c>
      <c r="Q28">
        <f t="shared" si="4"/>
        <v>997.58</v>
      </c>
      <c r="R28">
        <f t="shared" si="5"/>
        <v>247.63</v>
      </c>
      <c r="S28">
        <f t="shared" si="6"/>
        <v>172.47</v>
      </c>
      <c r="T28">
        <f t="shared" si="7"/>
        <v>0</v>
      </c>
      <c r="U28">
        <f t="shared" si="8"/>
        <v>1.1949860000000003</v>
      </c>
      <c r="V28">
        <f t="shared" si="9"/>
        <v>1.01764</v>
      </c>
      <c r="W28">
        <f t="shared" si="10"/>
        <v>0</v>
      </c>
      <c r="X28">
        <f t="shared" si="11"/>
        <v>508.32</v>
      </c>
      <c r="Y28">
        <f t="shared" si="12"/>
        <v>319.28</v>
      </c>
      <c r="AA28">
        <v>0</v>
      </c>
      <c r="AB28">
        <f t="shared" si="13"/>
        <v>3578.4199999999996</v>
      </c>
      <c r="AC28">
        <f>(ES28)</f>
        <v>17.08</v>
      </c>
      <c r="AD28">
        <f>(ET28)</f>
        <v>3365.64</v>
      </c>
      <c r="AE28">
        <f>(EU28)</f>
        <v>280.98</v>
      </c>
      <c r="AF28">
        <f>(EV28)</f>
        <v>195.7</v>
      </c>
      <c r="AG28">
        <f>(AP28)</f>
        <v>0</v>
      </c>
      <c r="AH28">
        <f>(EW28)</f>
        <v>24.19</v>
      </c>
      <c r="AI28">
        <f>(EX28)</f>
        <v>20.6</v>
      </c>
      <c r="AJ28">
        <f>(AS28)</f>
        <v>0</v>
      </c>
      <c r="AK28">
        <v>3578.4199999999996</v>
      </c>
      <c r="AL28">
        <v>17.08</v>
      </c>
      <c r="AM28">
        <v>3365.64</v>
      </c>
      <c r="AN28">
        <v>280.98</v>
      </c>
      <c r="AO28">
        <v>195.7</v>
      </c>
      <c r="AP28">
        <v>0</v>
      </c>
      <c r="AQ28">
        <v>24.19</v>
      </c>
      <c r="AR28">
        <v>20.6</v>
      </c>
      <c r="AS28">
        <v>0</v>
      </c>
      <c r="AT28">
        <v>121</v>
      </c>
      <c r="AU28">
        <v>76</v>
      </c>
      <c r="AV28">
        <v>1</v>
      </c>
      <c r="AW28">
        <v>1</v>
      </c>
      <c r="AX28">
        <v>1</v>
      </c>
      <c r="AY28">
        <v>1</v>
      </c>
      <c r="AZ28">
        <v>8.6</v>
      </c>
      <c r="BA28">
        <v>17.84</v>
      </c>
      <c r="BB28">
        <v>6</v>
      </c>
      <c r="BC28">
        <v>4.95</v>
      </c>
      <c r="BH28">
        <v>0</v>
      </c>
      <c r="BI28">
        <v>1</v>
      </c>
      <c r="BJ28" t="s">
        <v>50</v>
      </c>
      <c r="BM28">
        <v>27001</v>
      </c>
      <c r="BN28">
        <v>0</v>
      </c>
      <c r="BO28" t="s">
        <v>48</v>
      </c>
      <c r="BP28">
        <v>1</v>
      </c>
      <c r="BQ28">
        <v>2</v>
      </c>
      <c r="BR28">
        <v>0</v>
      </c>
      <c r="BS28">
        <v>17.84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142</v>
      </c>
      <c r="CA28">
        <v>95</v>
      </c>
      <c r="CF28">
        <v>0</v>
      </c>
      <c r="CG28">
        <v>0</v>
      </c>
      <c r="CM28">
        <v>0</v>
      </c>
      <c r="CO28">
        <v>0</v>
      </c>
      <c r="CP28">
        <f t="shared" si="16"/>
        <v>1174.23</v>
      </c>
      <c r="CQ28">
        <f t="shared" si="17"/>
        <v>84.54599999999999</v>
      </c>
      <c r="CR28">
        <f t="shared" si="18"/>
        <v>20193.84</v>
      </c>
      <c r="CS28">
        <f t="shared" si="19"/>
        <v>5012.6832</v>
      </c>
      <c r="CT28">
        <f t="shared" si="20"/>
        <v>3491.2879999999996</v>
      </c>
      <c r="CU28">
        <f t="shared" si="21"/>
        <v>0</v>
      </c>
      <c r="CV28">
        <f t="shared" si="22"/>
        <v>24.19</v>
      </c>
      <c r="CW28">
        <f t="shared" si="23"/>
        <v>20.6</v>
      </c>
      <c r="CX28">
        <f t="shared" si="24"/>
        <v>0</v>
      </c>
      <c r="CY28">
        <f t="shared" si="25"/>
        <v>508.321</v>
      </c>
      <c r="CZ28">
        <f t="shared" si="26"/>
        <v>319.276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37</v>
      </c>
      <c r="DW28" t="s">
        <v>39</v>
      </c>
      <c r="DX28">
        <v>100</v>
      </c>
      <c r="EE28">
        <v>27738717</v>
      </c>
      <c r="EF28">
        <v>2</v>
      </c>
      <c r="EG28" t="s">
        <v>31</v>
      </c>
      <c r="EH28">
        <v>0</v>
      </c>
      <c r="EJ28">
        <v>1</v>
      </c>
      <c r="EK28">
        <v>27001</v>
      </c>
      <c r="EL28" t="s">
        <v>40</v>
      </c>
      <c r="EM28" t="s">
        <v>41</v>
      </c>
      <c r="EQ28">
        <v>0</v>
      </c>
      <c r="ER28">
        <v>3578.42</v>
      </c>
      <c r="ES28">
        <v>17.08</v>
      </c>
      <c r="ET28">
        <v>3365.64</v>
      </c>
      <c r="EU28">
        <v>280.98</v>
      </c>
      <c r="EV28">
        <v>195.7</v>
      </c>
      <c r="EW28">
        <v>24.19</v>
      </c>
      <c r="EX28">
        <v>20.6</v>
      </c>
      <c r="EY28">
        <v>0</v>
      </c>
      <c r="EZ28">
        <v>0</v>
      </c>
      <c r="FQ28">
        <v>0</v>
      </c>
      <c r="FR28">
        <f t="shared" si="27"/>
        <v>0</v>
      </c>
      <c r="FS28">
        <v>0</v>
      </c>
      <c r="FV28" t="s">
        <v>23</v>
      </c>
      <c r="FW28" t="s">
        <v>24</v>
      </c>
      <c r="FX28">
        <v>142</v>
      </c>
      <c r="FY28">
        <v>95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</row>
    <row r="29" spans="1:193" ht="12.75">
      <c r="A29">
        <v>18</v>
      </c>
      <c r="B29">
        <v>1</v>
      </c>
      <c r="C29">
        <v>28</v>
      </c>
      <c r="E29" t="s">
        <v>51</v>
      </c>
      <c r="F29" t="s">
        <v>52</v>
      </c>
      <c r="G29" t="s">
        <v>53</v>
      </c>
      <c r="H29" t="s">
        <v>45</v>
      </c>
      <c r="I29">
        <f>I28*J29</f>
        <v>6.2244</v>
      </c>
      <c r="J29">
        <v>125.99999999999999</v>
      </c>
      <c r="O29">
        <f t="shared" si="2"/>
        <v>7111.59</v>
      </c>
      <c r="P29">
        <f t="shared" si="3"/>
        <v>7111.59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129.1</v>
      </c>
      <c r="AC29">
        <f aca="true" t="shared" si="29" ref="AC29:AJ29">AL29</f>
        <v>129.1</v>
      </c>
      <c r="AD29">
        <f t="shared" si="29"/>
        <v>0</v>
      </c>
      <c r="AE29">
        <f t="shared" si="29"/>
        <v>0</v>
      </c>
      <c r="AF29">
        <f t="shared" si="29"/>
        <v>0</v>
      </c>
      <c r="AG29">
        <f t="shared" si="29"/>
        <v>0</v>
      </c>
      <c r="AH29">
        <f t="shared" si="29"/>
        <v>0</v>
      </c>
      <c r="AI29">
        <f t="shared" si="29"/>
        <v>0</v>
      </c>
      <c r="AJ29">
        <f t="shared" si="29"/>
        <v>0</v>
      </c>
      <c r="AK29">
        <v>129.1</v>
      </c>
      <c r="AL29">
        <v>129.1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121</v>
      </c>
      <c r="AU29">
        <v>76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8.85</v>
      </c>
      <c r="BH29">
        <v>3</v>
      </c>
      <c r="BI29">
        <v>1</v>
      </c>
      <c r="BJ29" t="s">
        <v>54</v>
      </c>
      <c r="BM29">
        <v>27001</v>
      </c>
      <c r="BN29">
        <v>0</v>
      </c>
      <c r="BO29" t="s">
        <v>52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142</v>
      </c>
      <c r="CA29">
        <v>95</v>
      </c>
      <c r="CF29">
        <v>0</v>
      </c>
      <c r="CG29">
        <v>0</v>
      </c>
      <c r="CM29">
        <v>0</v>
      </c>
      <c r="CO29">
        <v>0</v>
      </c>
      <c r="CP29">
        <f t="shared" si="16"/>
        <v>7111.59</v>
      </c>
      <c r="CQ29">
        <f t="shared" si="17"/>
        <v>1142.5349999999999</v>
      </c>
      <c r="CR29">
        <f t="shared" si="18"/>
        <v>0</v>
      </c>
      <c r="CS29">
        <f t="shared" si="19"/>
        <v>0</v>
      </c>
      <c r="CT29">
        <f t="shared" si="20"/>
        <v>0</v>
      </c>
      <c r="CU29">
        <f t="shared" si="21"/>
        <v>0</v>
      </c>
      <c r="CV29">
        <f t="shared" si="22"/>
        <v>0</v>
      </c>
      <c r="CW29">
        <f t="shared" si="23"/>
        <v>0</v>
      </c>
      <c r="CX29">
        <f t="shared" si="24"/>
        <v>0</v>
      </c>
      <c r="CY29">
        <f t="shared" si="25"/>
        <v>0</v>
      </c>
      <c r="CZ29">
        <f t="shared" si="26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45</v>
      </c>
      <c r="DW29" t="s">
        <v>45</v>
      </c>
      <c r="DX29">
        <v>1</v>
      </c>
      <c r="EE29">
        <v>27738717</v>
      </c>
      <c r="EF29">
        <v>2</v>
      </c>
      <c r="EG29" t="s">
        <v>31</v>
      </c>
      <c r="EH29">
        <v>0</v>
      </c>
      <c r="EJ29">
        <v>1</v>
      </c>
      <c r="EK29">
        <v>27001</v>
      </c>
      <c r="EL29" t="s">
        <v>40</v>
      </c>
      <c r="EM29" t="s">
        <v>41</v>
      </c>
      <c r="EQ29">
        <v>0</v>
      </c>
      <c r="ER29">
        <v>129.1</v>
      </c>
      <c r="ES29">
        <v>129.1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0</v>
      </c>
      <c r="FQ29">
        <v>0</v>
      </c>
      <c r="FR29">
        <f t="shared" si="27"/>
        <v>0</v>
      </c>
      <c r="FS29">
        <v>0</v>
      </c>
      <c r="FV29" t="s">
        <v>23</v>
      </c>
      <c r="FW29" t="s">
        <v>24</v>
      </c>
      <c r="FX29">
        <v>142</v>
      </c>
      <c r="FY29">
        <v>95</v>
      </c>
      <c r="GA29">
        <v>129.1</v>
      </c>
      <c r="GB29">
        <v>129.1</v>
      </c>
      <c r="GC29">
        <v>0</v>
      </c>
      <c r="GD29">
        <v>0</v>
      </c>
      <c r="GE29">
        <v>0</v>
      </c>
      <c r="GF29">
        <v>129.1</v>
      </c>
      <c r="GG29">
        <v>129.1</v>
      </c>
      <c r="GH29">
        <v>0</v>
      </c>
      <c r="GI29">
        <v>0</v>
      </c>
      <c r="GJ29">
        <v>0</v>
      </c>
      <c r="GK29">
        <v>0</v>
      </c>
    </row>
    <row r="30" spans="1:193" ht="12.75">
      <c r="A30">
        <v>17</v>
      </c>
      <c r="B30">
        <v>1</v>
      </c>
      <c r="C30">
        <f>ROW(SmtRes!A42)</f>
        <v>42</v>
      </c>
      <c r="D30">
        <f>ROW(EtalonRes!A42)</f>
        <v>42</v>
      </c>
      <c r="E30" t="s">
        <v>55</v>
      </c>
      <c r="F30" t="s">
        <v>56</v>
      </c>
      <c r="G30" t="s">
        <v>57</v>
      </c>
      <c r="H30" t="s">
        <v>28</v>
      </c>
      <c r="I30">
        <v>0.0988</v>
      </c>
      <c r="J30">
        <v>0</v>
      </c>
      <c r="O30">
        <f t="shared" si="2"/>
        <v>26153.52</v>
      </c>
      <c r="P30">
        <f t="shared" si="3"/>
        <v>24341.8</v>
      </c>
      <c r="Q30">
        <f t="shared" si="4"/>
        <v>1162.29</v>
      </c>
      <c r="R30">
        <f t="shared" si="5"/>
        <v>462.75</v>
      </c>
      <c r="S30">
        <f t="shared" si="6"/>
        <v>649.43</v>
      </c>
      <c r="T30">
        <f t="shared" si="7"/>
        <v>0</v>
      </c>
      <c r="U30">
        <f t="shared" si="8"/>
        <v>3.7840399999999996</v>
      </c>
      <c r="V30">
        <f t="shared" si="9"/>
        <v>1.885104</v>
      </c>
      <c r="W30">
        <f t="shared" si="10"/>
        <v>0</v>
      </c>
      <c r="X30">
        <f t="shared" si="11"/>
        <v>1345.74</v>
      </c>
      <c r="Y30">
        <f t="shared" si="12"/>
        <v>845.26</v>
      </c>
      <c r="AA30">
        <v>0</v>
      </c>
      <c r="AB30">
        <f t="shared" si="13"/>
        <v>54732.409999999996</v>
      </c>
      <c r="AC30">
        <f>(ES30)</f>
        <v>51977.74</v>
      </c>
      <c r="AD30">
        <f>(ET30)</f>
        <v>2386.22</v>
      </c>
      <c r="AE30">
        <f>(EU30)</f>
        <v>262.54</v>
      </c>
      <c r="AF30">
        <f>(EV30)</f>
        <v>368.45</v>
      </c>
      <c r="AG30">
        <f>(AP30)</f>
        <v>0</v>
      </c>
      <c r="AH30">
        <f>(EW30)</f>
        <v>38.3</v>
      </c>
      <c r="AI30">
        <f>(EX30)</f>
        <v>19.08</v>
      </c>
      <c r="AJ30">
        <f>(AS30)</f>
        <v>0</v>
      </c>
      <c r="AK30">
        <v>54732.409999999996</v>
      </c>
      <c r="AL30">
        <v>51977.74</v>
      </c>
      <c r="AM30">
        <v>2386.22</v>
      </c>
      <c r="AN30">
        <v>262.54</v>
      </c>
      <c r="AO30">
        <v>368.45</v>
      </c>
      <c r="AP30">
        <v>0</v>
      </c>
      <c r="AQ30">
        <v>38.3</v>
      </c>
      <c r="AR30">
        <v>19.08</v>
      </c>
      <c r="AS30">
        <v>0</v>
      </c>
      <c r="AT30">
        <v>121</v>
      </c>
      <c r="AU30">
        <v>76</v>
      </c>
      <c r="AV30">
        <v>1</v>
      </c>
      <c r="AW30">
        <v>1</v>
      </c>
      <c r="AX30">
        <v>1</v>
      </c>
      <c r="AY30">
        <v>1</v>
      </c>
      <c r="AZ30">
        <v>5.1</v>
      </c>
      <c r="BA30">
        <v>17.84</v>
      </c>
      <c r="BB30">
        <v>4.93</v>
      </c>
      <c r="BC30">
        <v>4.74</v>
      </c>
      <c r="BH30">
        <v>0</v>
      </c>
      <c r="BI30">
        <v>1</v>
      </c>
      <c r="BJ30" t="s">
        <v>58</v>
      </c>
      <c r="BM30">
        <v>27001</v>
      </c>
      <c r="BN30">
        <v>0</v>
      </c>
      <c r="BO30" t="s">
        <v>56</v>
      </c>
      <c r="BP30">
        <v>1</v>
      </c>
      <c r="BQ30">
        <v>2</v>
      </c>
      <c r="BR30">
        <v>0</v>
      </c>
      <c r="BS30">
        <v>17.84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142</v>
      </c>
      <c r="CA30">
        <v>95</v>
      </c>
      <c r="CF30">
        <v>0</v>
      </c>
      <c r="CG30">
        <v>0</v>
      </c>
      <c r="CM30">
        <v>0</v>
      </c>
      <c r="CO30">
        <v>0</v>
      </c>
      <c r="CP30">
        <f t="shared" si="16"/>
        <v>26153.52</v>
      </c>
      <c r="CQ30">
        <f t="shared" si="17"/>
        <v>246374.4876</v>
      </c>
      <c r="CR30">
        <f t="shared" si="18"/>
        <v>11764.064599999998</v>
      </c>
      <c r="CS30">
        <f t="shared" si="19"/>
        <v>4683.7136</v>
      </c>
      <c r="CT30">
        <f t="shared" si="20"/>
        <v>6573.148</v>
      </c>
      <c r="CU30">
        <f t="shared" si="21"/>
        <v>0</v>
      </c>
      <c r="CV30">
        <f t="shared" si="22"/>
        <v>38.3</v>
      </c>
      <c r="CW30">
        <f t="shared" si="23"/>
        <v>19.08</v>
      </c>
      <c r="CX30">
        <f t="shared" si="24"/>
        <v>0</v>
      </c>
      <c r="CY30">
        <f t="shared" si="25"/>
        <v>1345.7377999999997</v>
      </c>
      <c r="CZ30">
        <f t="shared" si="26"/>
        <v>845.2567999999999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28</v>
      </c>
      <c r="DW30" t="s">
        <v>59</v>
      </c>
      <c r="DX30">
        <v>1000</v>
      </c>
      <c r="EE30">
        <v>27738717</v>
      </c>
      <c r="EF30">
        <v>2</v>
      </c>
      <c r="EG30" t="s">
        <v>31</v>
      </c>
      <c r="EH30">
        <v>0</v>
      </c>
      <c r="EJ30">
        <v>1</v>
      </c>
      <c r="EK30">
        <v>27001</v>
      </c>
      <c r="EL30" t="s">
        <v>40</v>
      </c>
      <c r="EM30" t="s">
        <v>41</v>
      </c>
      <c r="EQ30">
        <v>0</v>
      </c>
      <c r="ER30">
        <v>54732.41</v>
      </c>
      <c r="ES30">
        <v>51977.74</v>
      </c>
      <c r="ET30">
        <v>2386.22</v>
      </c>
      <c r="EU30">
        <v>262.54</v>
      </c>
      <c r="EV30">
        <v>368.45</v>
      </c>
      <c r="EW30">
        <v>38.3</v>
      </c>
      <c r="EX30">
        <v>19.08</v>
      </c>
      <c r="EY30">
        <v>0</v>
      </c>
      <c r="EZ30">
        <v>0</v>
      </c>
      <c r="FQ30">
        <v>0</v>
      </c>
      <c r="FR30">
        <f t="shared" si="27"/>
        <v>0</v>
      </c>
      <c r="FS30">
        <v>0</v>
      </c>
      <c r="FV30" t="s">
        <v>23</v>
      </c>
      <c r="FW30" t="s">
        <v>24</v>
      </c>
      <c r="FX30">
        <v>142</v>
      </c>
      <c r="FY30">
        <v>95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</row>
    <row r="31" spans="1:193" ht="12.75">
      <c r="A31">
        <v>17</v>
      </c>
      <c r="B31">
        <v>1</v>
      </c>
      <c r="C31">
        <f>ROW(SmtRes!A47)</f>
        <v>47</v>
      </c>
      <c r="D31">
        <f>ROW(EtalonRes!A47)</f>
        <v>47</v>
      </c>
      <c r="E31" t="s">
        <v>60</v>
      </c>
      <c r="F31" t="s">
        <v>61</v>
      </c>
      <c r="G31" t="s">
        <v>62</v>
      </c>
      <c r="H31" t="s">
        <v>28</v>
      </c>
      <c r="I31">
        <v>0.0988</v>
      </c>
      <c r="J31">
        <v>0</v>
      </c>
      <c r="O31">
        <f t="shared" si="2"/>
        <v>6076.68</v>
      </c>
      <c r="P31">
        <f t="shared" si="3"/>
        <v>6071.12</v>
      </c>
      <c r="Q31">
        <f t="shared" si="4"/>
        <v>2.49</v>
      </c>
      <c r="R31">
        <f t="shared" si="5"/>
        <v>0</v>
      </c>
      <c r="S31">
        <f t="shared" si="6"/>
        <v>3.07</v>
      </c>
      <c r="T31">
        <f t="shared" si="7"/>
        <v>0</v>
      </c>
      <c r="U31">
        <f t="shared" si="8"/>
        <v>0.017783999999999998</v>
      </c>
      <c r="V31">
        <f t="shared" si="9"/>
        <v>0</v>
      </c>
      <c r="W31">
        <f t="shared" si="10"/>
        <v>0</v>
      </c>
      <c r="X31">
        <f t="shared" si="11"/>
        <v>3.71</v>
      </c>
      <c r="Y31">
        <f t="shared" si="12"/>
        <v>2.33</v>
      </c>
      <c r="AA31">
        <v>0</v>
      </c>
      <c r="AB31">
        <f t="shared" si="13"/>
        <v>12971.78</v>
      </c>
      <c r="AC31">
        <f>((ES31*2))</f>
        <v>12963.84</v>
      </c>
      <c r="AD31">
        <f>((ET31*2))</f>
        <v>6.2</v>
      </c>
      <c r="AE31">
        <f>((EU31*2))</f>
        <v>0</v>
      </c>
      <c r="AF31">
        <f>((EV31*2))</f>
        <v>1.74</v>
      </c>
      <c r="AG31">
        <f>(AP31)</f>
        <v>0</v>
      </c>
      <c r="AH31">
        <f>((EW31*2))</f>
        <v>0.18</v>
      </c>
      <c r="AI31">
        <f>((EX31*2))</f>
        <v>0</v>
      </c>
      <c r="AJ31">
        <f>(AS31)</f>
        <v>0</v>
      </c>
      <c r="AK31">
        <v>6485.89</v>
      </c>
      <c r="AL31">
        <v>6481.92</v>
      </c>
      <c r="AM31">
        <v>3.1</v>
      </c>
      <c r="AN31">
        <v>0</v>
      </c>
      <c r="AO31">
        <v>0.87</v>
      </c>
      <c r="AP31">
        <v>0</v>
      </c>
      <c r="AQ31">
        <v>0.09</v>
      </c>
      <c r="AR31">
        <v>0</v>
      </c>
      <c r="AS31">
        <v>0</v>
      </c>
      <c r="AT31">
        <v>121</v>
      </c>
      <c r="AU31">
        <v>76</v>
      </c>
      <c r="AV31">
        <v>1</v>
      </c>
      <c r="AW31">
        <v>1</v>
      </c>
      <c r="AX31">
        <v>1</v>
      </c>
      <c r="AY31">
        <v>1</v>
      </c>
      <c r="AZ31">
        <v>4.74</v>
      </c>
      <c r="BA31">
        <v>17.84</v>
      </c>
      <c r="BB31">
        <v>4.07</v>
      </c>
      <c r="BC31">
        <v>4.74</v>
      </c>
      <c r="BH31">
        <v>0</v>
      </c>
      <c r="BI31">
        <v>1</v>
      </c>
      <c r="BJ31" t="s">
        <v>63</v>
      </c>
      <c r="BM31">
        <v>27001</v>
      </c>
      <c r="BN31">
        <v>0</v>
      </c>
      <c r="BO31" t="s">
        <v>61</v>
      </c>
      <c r="BP31">
        <v>1</v>
      </c>
      <c r="BQ31">
        <v>2</v>
      </c>
      <c r="BR31">
        <v>0</v>
      </c>
      <c r="BS31">
        <v>17.84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142</v>
      </c>
      <c r="CA31">
        <v>95</v>
      </c>
      <c r="CF31">
        <v>0</v>
      </c>
      <c r="CG31">
        <v>0</v>
      </c>
      <c r="CM31">
        <v>0</v>
      </c>
      <c r="CO31">
        <v>0</v>
      </c>
      <c r="CP31">
        <f t="shared" si="16"/>
        <v>6076.679999999999</v>
      </c>
      <c r="CQ31">
        <f t="shared" si="17"/>
        <v>61448.6016</v>
      </c>
      <c r="CR31">
        <f t="shared" si="18"/>
        <v>25.234</v>
      </c>
      <c r="CS31">
        <f t="shared" si="19"/>
        <v>0</v>
      </c>
      <c r="CT31">
        <f t="shared" si="20"/>
        <v>31.0416</v>
      </c>
      <c r="CU31">
        <f t="shared" si="21"/>
        <v>0</v>
      </c>
      <c r="CV31">
        <f t="shared" si="22"/>
        <v>0.18</v>
      </c>
      <c r="CW31">
        <f t="shared" si="23"/>
        <v>0</v>
      </c>
      <c r="CX31">
        <f t="shared" si="24"/>
        <v>0</v>
      </c>
      <c r="CY31">
        <f t="shared" si="25"/>
        <v>3.7146999999999997</v>
      </c>
      <c r="CZ31">
        <f t="shared" si="26"/>
        <v>2.3331999999999997</v>
      </c>
      <c r="DD31" t="s">
        <v>64</v>
      </c>
      <c r="DE31" t="s">
        <v>64</v>
      </c>
      <c r="DF31" t="s">
        <v>64</v>
      </c>
      <c r="DG31" t="s">
        <v>64</v>
      </c>
      <c r="DI31" t="s">
        <v>64</v>
      </c>
      <c r="DJ31" t="s">
        <v>64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28</v>
      </c>
      <c r="DW31" t="s">
        <v>59</v>
      </c>
      <c r="DX31">
        <v>1000</v>
      </c>
      <c r="EE31">
        <v>27738717</v>
      </c>
      <c r="EF31">
        <v>2</v>
      </c>
      <c r="EG31" t="s">
        <v>31</v>
      </c>
      <c r="EH31">
        <v>0</v>
      </c>
      <c r="EJ31">
        <v>1</v>
      </c>
      <c r="EK31">
        <v>27001</v>
      </c>
      <c r="EL31" t="s">
        <v>40</v>
      </c>
      <c r="EM31" t="s">
        <v>41</v>
      </c>
      <c r="EQ31">
        <v>0</v>
      </c>
      <c r="ER31">
        <v>6485.89</v>
      </c>
      <c r="ES31">
        <v>6481.92</v>
      </c>
      <c r="ET31">
        <v>3.1</v>
      </c>
      <c r="EU31">
        <v>0</v>
      </c>
      <c r="EV31">
        <v>0.87</v>
      </c>
      <c r="EW31">
        <v>0.09</v>
      </c>
      <c r="EX31">
        <v>0</v>
      </c>
      <c r="EY31">
        <v>0</v>
      </c>
      <c r="EZ31">
        <v>0</v>
      </c>
      <c r="FQ31">
        <v>0</v>
      </c>
      <c r="FR31">
        <f t="shared" si="27"/>
        <v>0</v>
      </c>
      <c r="FS31">
        <v>0</v>
      </c>
      <c r="FV31" t="s">
        <v>23</v>
      </c>
      <c r="FW31" t="s">
        <v>24</v>
      </c>
      <c r="FX31">
        <v>142</v>
      </c>
      <c r="FY31">
        <v>95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</row>
    <row r="32" spans="1:193" ht="12.75">
      <c r="A32">
        <v>17</v>
      </c>
      <c r="B32">
        <v>1</v>
      </c>
      <c r="C32">
        <f>ROW(SmtRes!A58)</f>
        <v>58</v>
      </c>
      <c r="D32">
        <f>ROW(EtalonRes!A58)</f>
        <v>58</v>
      </c>
      <c r="E32" t="s">
        <v>65</v>
      </c>
      <c r="F32" t="s">
        <v>66</v>
      </c>
      <c r="G32" t="s">
        <v>67</v>
      </c>
      <c r="H32" t="s">
        <v>68</v>
      </c>
      <c r="I32">
        <v>0.01</v>
      </c>
      <c r="J32">
        <v>0</v>
      </c>
      <c r="O32">
        <f t="shared" si="2"/>
        <v>728.4</v>
      </c>
      <c r="P32">
        <f t="shared" si="3"/>
        <v>49.96</v>
      </c>
      <c r="Q32">
        <f t="shared" si="4"/>
        <v>123.31</v>
      </c>
      <c r="R32">
        <f t="shared" si="5"/>
        <v>41.12</v>
      </c>
      <c r="S32">
        <f t="shared" si="6"/>
        <v>555.13</v>
      </c>
      <c r="T32">
        <f t="shared" si="7"/>
        <v>0</v>
      </c>
      <c r="U32">
        <f t="shared" si="8"/>
        <v>3.648</v>
      </c>
      <c r="V32">
        <f t="shared" si="9"/>
        <v>0.1428</v>
      </c>
      <c r="W32">
        <f t="shared" si="10"/>
        <v>0</v>
      </c>
      <c r="X32">
        <f t="shared" si="11"/>
        <v>721.46</v>
      </c>
      <c r="Y32">
        <f t="shared" si="12"/>
        <v>453.15</v>
      </c>
      <c r="AA32">
        <v>0</v>
      </c>
      <c r="AB32">
        <f t="shared" si="13"/>
        <v>7568.88</v>
      </c>
      <c r="AC32">
        <f aca="true" t="shared" si="30" ref="AC32:AF34">(ES32)</f>
        <v>1716.89</v>
      </c>
      <c r="AD32">
        <f t="shared" si="30"/>
        <v>2740.25</v>
      </c>
      <c r="AE32">
        <f t="shared" si="30"/>
        <v>230.48</v>
      </c>
      <c r="AF32">
        <f t="shared" si="30"/>
        <v>3111.74</v>
      </c>
      <c r="AG32">
        <f>(AP32)</f>
        <v>0</v>
      </c>
      <c r="AH32">
        <f aca="true" t="shared" si="31" ref="AH32:AI34">(EW32)</f>
        <v>364.8</v>
      </c>
      <c r="AI32">
        <f t="shared" si="31"/>
        <v>14.28</v>
      </c>
      <c r="AJ32">
        <f>(AS32)</f>
        <v>0</v>
      </c>
      <c r="AK32">
        <v>7568.88</v>
      </c>
      <c r="AL32">
        <v>1716.89</v>
      </c>
      <c r="AM32">
        <v>2740.25</v>
      </c>
      <c r="AN32">
        <v>230.48</v>
      </c>
      <c r="AO32">
        <v>3111.74</v>
      </c>
      <c r="AP32">
        <v>0</v>
      </c>
      <c r="AQ32">
        <v>364.8</v>
      </c>
      <c r="AR32">
        <v>14.28</v>
      </c>
      <c r="AS32">
        <v>0</v>
      </c>
      <c r="AT32">
        <v>121</v>
      </c>
      <c r="AU32">
        <v>76</v>
      </c>
      <c r="AV32">
        <v>1</v>
      </c>
      <c r="AW32">
        <v>1</v>
      </c>
      <c r="AX32">
        <v>1</v>
      </c>
      <c r="AY32">
        <v>1</v>
      </c>
      <c r="AZ32">
        <v>12.29</v>
      </c>
      <c r="BA32">
        <v>17.84</v>
      </c>
      <c r="BB32">
        <v>4.5</v>
      </c>
      <c r="BC32">
        <v>2.91</v>
      </c>
      <c r="BH32">
        <v>0</v>
      </c>
      <c r="BI32">
        <v>1</v>
      </c>
      <c r="BJ32" t="s">
        <v>69</v>
      </c>
      <c r="BM32">
        <v>27001</v>
      </c>
      <c r="BN32">
        <v>0</v>
      </c>
      <c r="BO32" t="s">
        <v>66</v>
      </c>
      <c r="BP32">
        <v>1</v>
      </c>
      <c r="BQ32">
        <v>2</v>
      </c>
      <c r="BR32">
        <v>0</v>
      </c>
      <c r="BS32">
        <v>17.84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142</v>
      </c>
      <c r="CA32">
        <v>95</v>
      </c>
      <c r="CF32">
        <v>0</v>
      </c>
      <c r="CG32">
        <v>0</v>
      </c>
      <c r="CM32">
        <v>0</v>
      </c>
      <c r="CO32">
        <v>0</v>
      </c>
      <c r="CP32">
        <f t="shared" si="16"/>
        <v>728.4</v>
      </c>
      <c r="CQ32">
        <f t="shared" si="17"/>
        <v>4996.1499</v>
      </c>
      <c r="CR32">
        <f t="shared" si="18"/>
        <v>12331.125</v>
      </c>
      <c r="CS32">
        <f t="shared" si="19"/>
        <v>4111.763199999999</v>
      </c>
      <c r="CT32">
        <f t="shared" si="20"/>
        <v>55513.4416</v>
      </c>
      <c r="CU32">
        <f t="shared" si="21"/>
        <v>0</v>
      </c>
      <c r="CV32">
        <f t="shared" si="22"/>
        <v>364.8</v>
      </c>
      <c r="CW32">
        <f t="shared" si="23"/>
        <v>14.28</v>
      </c>
      <c r="CX32">
        <f t="shared" si="24"/>
        <v>0</v>
      </c>
      <c r="CY32">
        <f t="shared" si="25"/>
        <v>721.4625</v>
      </c>
      <c r="CZ32">
        <f t="shared" si="26"/>
        <v>453.15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68</v>
      </c>
      <c r="DW32" t="s">
        <v>70</v>
      </c>
      <c r="DX32">
        <v>100</v>
      </c>
      <c r="EE32">
        <v>27738717</v>
      </c>
      <c r="EF32">
        <v>2</v>
      </c>
      <c r="EG32" t="s">
        <v>31</v>
      </c>
      <c r="EH32">
        <v>0</v>
      </c>
      <c r="EJ32">
        <v>1</v>
      </c>
      <c r="EK32">
        <v>27001</v>
      </c>
      <c r="EL32" t="s">
        <v>40</v>
      </c>
      <c r="EM32" t="s">
        <v>41</v>
      </c>
      <c r="EQ32">
        <v>0</v>
      </c>
      <c r="ER32">
        <v>7568.88</v>
      </c>
      <c r="ES32">
        <v>1716.89</v>
      </c>
      <c r="ET32">
        <v>2740.25</v>
      </c>
      <c r="EU32">
        <v>230.48</v>
      </c>
      <c r="EV32">
        <v>3111.74</v>
      </c>
      <c r="EW32">
        <v>364.8</v>
      </c>
      <c r="EX32">
        <v>14.28</v>
      </c>
      <c r="EY32">
        <v>0</v>
      </c>
      <c r="EZ32">
        <v>0</v>
      </c>
      <c r="FQ32">
        <v>0</v>
      </c>
      <c r="FR32">
        <f t="shared" si="27"/>
        <v>0</v>
      </c>
      <c r="FS32">
        <v>0</v>
      </c>
      <c r="FV32" t="s">
        <v>23</v>
      </c>
      <c r="FW32" t="s">
        <v>24</v>
      </c>
      <c r="FX32">
        <v>142</v>
      </c>
      <c r="FY32">
        <v>95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</row>
    <row r="33" spans="1:193" ht="12.75">
      <c r="A33">
        <v>17</v>
      </c>
      <c r="B33">
        <v>1</v>
      </c>
      <c r="E33" t="s">
        <v>71</v>
      </c>
      <c r="F33" t="s">
        <v>72</v>
      </c>
      <c r="G33" t="s">
        <v>73</v>
      </c>
      <c r="H33" t="s">
        <v>74</v>
      </c>
      <c r="I33">
        <v>0.03</v>
      </c>
      <c r="J33">
        <v>0</v>
      </c>
      <c r="O33">
        <f t="shared" si="2"/>
        <v>903.18</v>
      </c>
      <c r="P33">
        <f t="shared" si="3"/>
        <v>903.18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</v>
      </c>
      <c r="AA33">
        <v>0</v>
      </c>
      <c r="AB33">
        <f t="shared" si="13"/>
        <v>11150.43</v>
      </c>
      <c r="AC33">
        <f t="shared" si="30"/>
        <v>11150.43</v>
      </c>
      <c r="AD33">
        <f t="shared" si="30"/>
        <v>0</v>
      </c>
      <c r="AE33">
        <f t="shared" si="30"/>
        <v>0</v>
      </c>
      <c r="AF33">
        <f t="shared" si="30"/>
        <v>0</v>
      </c>
      <c r="AG33">
        <f>(AP33)</f>
        <v>0</v>
      </c>
      <c r="AH33">
        <f t="shared" si="31"/>
        <v>0</v>
      </c>
      <c r="AI33">
        <f t="shared" si="31"/>
        <v>0</v>
      </c>
      <c r="AJ33">
        <f>(AS33)</f>
        <v>0</v>
      </c>
      <c r="AK33">
        <v>11150.43</v>
      </c>
      <c r="AL33">
        <v>11150.43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2.7</v>
      </c>
      <c r="BH33">
        <v>3</v>
      </c>
      <c r="BI33">
        <v>1</v>
      </c>
      <c r="BJ33" t="s">
        <v>75</v>
      </c>
      <c r="BM33">
        <v>500001</v>
      </c>
      <c r="BN33">
        <v>0</v>
      </c>
      <c r="BO33" t="s">
        <v>72</v>
      </c>
      <c r="BP33">
        <v>1</v>
      </c>
      <c r="BQ33">
        <v>8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0</v>
      </c>
      <c r="CA33">
        <v>0</v>
      </c>
      <c r="CF33">
        <v>0</v>
      </c>
      <c r="CG33">
        <v>0</v>
      </c>
      <c r="CM33">
        <v>0</v>
      </c>
      <c r="CO33">
        <v>0</v>
      </c>
      <c r="CP33">
        <f t="shared" si="16"/>
        <v>903.18</v>
      </c>
      <c r="CQ33">
        <f t="shared" si="17"/>
        <v>30106.161000000004</v>
      </c>
      <c r="CR33">
        <f t="shared" si="18"/>
        <v>0</v>
      </c>
      <c r="CS33">
        <f t="shared" si="19"/>
        <v>0</v>
      </c>
      <c r="CT33">
        <f t="shared" si="20"/>
        <v>0</v>
      </c>
      <c r="CU33">
        <f t="shared" si="21"/>
        <v>0</v>
      </c>
      <c r="CV33">
        <f t="shared" si="22"/>
        <v>0</v>
      </c>
      <c r="CW33">
        <f t="shared" si="23"/>
        <v>0</v>
      </c>
      <c r="CX33">
        <f t="shared" si="24"/>
        <v>0</v>
      </c>
      <c r="CY33">
        <f>(0)*BX33</f>
        <v>0</v>
      </c>
      <c r="CZ33">
        <f>(0)*AX33</f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1009</v>
      </c>
      <c r="DV33" t="s">
        <v>74</v>
      </c>
      <c r="DW33" t="s">
        <v>74</v>
      </c>
      <c r="DX33">
        <v>1000</v>
      </c>
      <c r="EE33">
        <v>27738608</v>
      </c>
      <c r="EF33">
        <v>8</v>
      </c>
      <c r="EG33" t="s">
        <v>76</v>
      </c>
      <c r="EH33">
        <v>0</v>
      </c>
      <c r="EJ33">
        <v>1</v>
      </c>
      <c r="EK33">
        <v>500001</v>
      </c>
      <c r="EL33" t="s">
        <v>77</v>
      </c>
      <c r="EM33" t="s">
        <v>78</v>
      </c>
      <c r="EQ33">
        <v>0</v>
      </c>
      <c r="ER33">
        <v>0</v>
      </c>
      <c r="ES33">
        <v>11150.43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Q33">
        <v>0</v>
      </c>
      <c r="FR33">
        <f t="shared" si="27"/>
        <v>0</v>
      </c>
      <c r="FS33">
        <v>0</v>
      </c>
      <c r="FX33">
        <v>0</v>
      </c>
      <c r="FY33">
        <v>0</v>
      </c>
      <c r="GA33">
        <v>11150.43</v>
      </c>
      <c r="GB33">
        <v>11150.43</v>
      </c>
      <c r="GC33">
        <v>0</v>
      </c>
      <c r="GD33">
        <v>0</v>
      </c>
      <c r="GE33">
        <v>0</v>
      </c>
      <c r="GF33">
        <v>11150.43</v>
      </c>
      <c r="GG33">
        <v>11150.43</v>
      </c>
      <c r="GH33">
        <v>0</v>
      </c>
      <c r="GI33">
        <v>0</v>
      </c>
      <c r="GJ33">
        <v>0</v>
      </c>
      <c r="GK33">
        <v>0</v>
      </c>
    </row>
    <row r="34" spans="1:193" ht="12.75">
      <c r="A34">
        <v>17</v>
      </c>
      <c r="B34">
        <v>1</v>
      </c>
      <c r="E34" t="s">
        <v>79</v>
      </c>
      <c r="F34" t="s">
        <v>80</v>
      </c>
      <c r="G34" t="s">
        <v>81</v>
      </c>
      <c r="H34" t="s">
        <v>82</v>
      </c>
      <c r="I34">
        <v>1</v>
      </c>
      <c r="J34">
        <v>0</v>
      </c>
      <c r="O34">
        <f t="shared" si="2"/>
        <v>673.17</v>
      </c>
      <c r="P34">
        <f t="shared" si="3"/>
        <v>673.17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  <c r="U34">
        <f t="shared" si="8"/>
        <v>0</v>
      </c>
      <c r="V34">
        <f t="shared" si="9"/>
        <v>0</v>
      </c>
      <c r="W34">
        <f t="shared" si="10"/>
        <v>0</v>
      </c>
      <c r="X34">
        <f t="shared" si="11"/>
        <v>0</v>
      </c>
      <c r="Y34">
        <f t="shared" si="12"/>
        <v>0</v>
      </c>
      <c r="AA34">
        <v>0</v>
      </c>
      <c r="AB34">
        <f t="shared" si="13"/>
        <v>313.1</v>
      </c>
      <c r="AC34">
        <f t="shared" si="30"/>
        <v>313.1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>(AP34)</f>
        <v>0</v>
      </c>
      <c r="AH34">
        <f t="shared" si="31"/>
        <v>0</v>
      </c>
      <c r="AI34">
        <f t="shared" si="31"/>
        <v>0</v>
      </c>
      <c r="AJ34">
        <f>(AS34)</f>
        <v>0</v>
      </c>
      <c r="AK34">
        <v>313.1</v>
      </c>
      <c r="AL34">
        <v>313.1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2.15</v>
      </c>
      <c r="BH34">
        <v>3</v>
      </c>
      <c r="BI34">
        <v>1</v>
      </c>
      <c r="BJ34" t="s">
        <v>83</v>
      </c>
      <c r="BM34">
        <v>500001</v>
      </c>
      <c r="BN34">
        <v>0</v>
      </c>
      <c r="BO34" t="s">
        <v>80</v>
      </c>
      <c r="BP34">
        <v>1</v>
      </c>
      <c r="BQ34">
        <v>8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16"/>
        <v>673.17</v>
      </c>
      <c r="CQ34">
        <f t="shared" si="17"/>
        <v>673.1650000000001</v>
      </c>
      <c r="CR34">
        <f t="shared" si="18"/>
        <v>0</v>
      </c>
      <c r="CS34">
        <f t="shared" si="19"/>
        <v>0</v>
      </c>
      <c r="CT34">
        <f t="shared" si="20"/>
        <v>0</v>
      </c>
      <c r="CU34">
        <f t="shared" si="21"/>
        <v>0</v>
      </c>
      <c r="CV34">
        <f t="shared" si="22"/>
        <v>0</v>
      </c>
      <c r="CW34">
        <f t="shared" si="23"/>
        <v>0</v>
      </c>
      <c r="CX34">
        <f t="shared" si="24"/>
        <v>0</v>
      </c>
      <c r="CY34">
        <f>(0)*BX34</f>
        <v>0</v>
      </c>
      <c r="CZ34">
        <f>(0)*AX34</f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82</v>
      </c>
      <c r="DW34" t="s">
        <v>82</v>
      </c>
      <c r="DX34">
        <v>1</v>
      </c>
      <c r="EE34">
        <v>27738608</v>
      </c>
      <c r="EF34">
        <v>8</v>
      </c>
      <c r="EG34" t="s">
        <v>76</v>
      </c>
      <c r="EH34">
        <v>0</v>
      </c>
      <c r="EJ34">
        <v>1</v>
      </c>
      <c r="EK34">
        <v>500001</v>
      </c>
      <c r="EL34" t="s">
        <v>77</v>
      </c>
      <c r="EM34" t="s">
        <v>78</v>
      </c>
      <c r="EQ34">
        <v>0</v>
      </c>
      <c r="ER34">
        <v>0</v>
      </c>
      <c r="ES34">
        <v>313.1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Q34">
        <v>0</v>
      </c>
      <c r="FR34">
        <f t="shared" si="27"/>
        <v>0</v>
      </c>
      <c r="FS34">
        <v>0</v>
      </c>
      <c r="FX34">
        <v>0</v>
      </c>
      <c r="FY34">
        <v>0</v>
      </c>
      <c r="GA34">
        <v>313.1</v>
      </c>
      <c r="GB34">
        <v>313.1</v>
      </c>
      <c r="GC34">
        <v>0</v>
      </c>
      <c r="GD34">
        <v>0</v>
      </c>
      <c r="GE34">
        <v>0</v>
      </c>
      <c r="GF34">
        <v>313.1</v>
      </c>
      <c r="GG34">
        <v>313.1</v>
      </c>
      <c r="GH34">
        <v>0</v>
      </c>
      <c r="GI34">
        <v>0</v>
      </c>
      <c r="GJ34">
        <v>0</v>
      </c>
      <c r="GK34">
        <v>0</v>
      </c>
    </row>
    <row r="36" spans="1:43" ht="12.75">
      <c r="A36" s="2">
        <v>51</v>
      </c>
      <c r="B36" s="2">
        <f>B20</f>
        <v>1</v>
      </c>
      <c r="C36" s="2">
        <f>A20</f>
        <v>3</v>
      </c>
      <c r="D36" s="2">
        <f>ROW(A20)</f>
        <v>20</v>
      </c>
      <c r="E36" s="2"/>
      <c r="F36" s="2" t="str">
        <f>IF(F20&lt;&gt;"",F20,"")</f>
        <v>Новая локальная смета</v>
      </c>
      <c r="G36" s="2" t="str">
        <f>IF(G20&lt;&gt;"",G20,"")</f>
        <v>Новая локальная смета</v>
      </c>
      <c r="H36" s="2"/>
      <c r="I36" s="2"/>
      <c r="J36" s="2"/>
      <c r="K36" s="2"/>
      <c r="L36" s="2"/>
      <c r="M36" s="2"/>
      <c r="N36" s="2"/>
      <c r="O36" s="2">
        <f aca="true" t="shared" si="32" ref="O36:Y36">ROUND(AB36,2)</f>
        <v>113881.36</v>
      </c>
      <c r="P36" s="2">
        <f t="shared" si="32"/>
        <v>85433.05</v>
      </c>
      <c r="Q36" s="2">
        <f t="shared" si="32"/>
        <v>7564.58</v>
      </c>
      <c r="R36" s="2">
        <f t="shared" si="32"/>
        <v>2519.95</v>
      </c>
      <c r="S36" s="2">
        <f t="shared" si="32"/>
        <v>20883.73</v>
      </c>
      <c r="T36" s="2">
        <f t="shared" si="32"/>
        <v>0</v>
      </c>
      <c r="U36" s="2">
        <f t="shared" si="32"/>
        <v>140.26</v>
      </c>
      <c r="V36" s="2">
        <f t="shared" si="32"/>
        <v>11.99</v>
      </c>
      <c r="W36" s="2">
        <f t="shared" si="32"/>
        <v>0</v>
      </c>
      <c r="X36" s="2">
        <f t="shared" si="32"/>
        <v>21474.62</v>
      </c>
      <c r="Y36" s="2">
        <f t="shared" si="32"/>
        <v>11979.73</v>
      </c>
      <c r="Z36" s="2"/>
      <c r="AA36" s="2"/>
      <c r="AB36" s="2">
        <f>ROUND(SUMIF(AA24:AA34,"=0",O24:O34),2)</f>
        <v>113881.36</v>
      </c>
      <c r="AC36" s="2">
        <f>ROUND(SUMIF(AA24:AA34,"=0",P24:P34),2)</f>
        <v>85433.05</v>
      </c>
      <c r="AD36" s="2">
        <f>ROUND(SUMIF(AA24:AA34,"=0",Q24:Q34),2)</f>
        <v>7564.58</v>
      </c>
      <c r="AE36" s="2">
        <f>ROUND(SUMIF(AA24:AA34,"=0",R24:R34),2)</f>
        <v>2519.95</v>
      </c>
      <c r="AF36" s="2">
        <f>ROUND(SUMIF(AA24:AA34,"=0",S24:S34),2)</f>
        <v>20883.73</v>
      </c>
      <c r="AG36" s="2">
        <f>ROUND(SUMIF(AA24:AA34,"=0",T24:T34),2)</f>
        <v>0</v>
      </c>
      <c r="AH36" s="2">
        <f>ROUND(SUMIF(AA24:AA34,"=0",U24:U34),2)</f>
        <v>140.26</v>
      </c>
      <c r="AI36" s="2">
        <f>ROUND(SUMIF(AA24:AA34,"=0",V24:V34),2)</f>
        <v>11.99</v>
      </c>
      <c r="AJ36" s="2">
        <f>ROUND(SUMIF(AA24:AA34,"=0",W24:W34),2)</f>
        <v>0</v>
      </c>
      <c r="AK36" s="2">
        <f>ROUND(SUMIF(AA24:AA34,"=0",X24:X34),2)</f>
        <v>21474.62</v>
      </c>
      <c r="AL36" s="2">
        <f>ROUND(SUMIF(AA24:AA34,"=0",Y24:Y34),2)</f>
        <v>11979.73</v>
      </c>
      <c r="AM36" s="2"/>
      <c r="AN36" s="2">
        <f>ROUND(AO36,2)</f>
        <v>0</v>
      </c>
      <c r="AO36" s="2">
        <f>ROUND(SUMIF(AA24:AA34,"=0",FQ24:FQ34),2)</f>
        <v>0</v>
      </c>
      <c r="AP36" s="2">
        <f>ROUND(AQ36,2)</f>
        <v>0</v>
      </c>
      <c r="AQ36" s="2">
        <f>ROUND(SUM(FR24:FR34),2)</f>
        <v>0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201</v>
      </c>
      <c r="F38" s="3">
        <f>Source!O36</f>
        <v>113881.36</v>
      </c>
      <c r="G38" s="3" t="s">
        <v>84</v>
      </c>
      <c r="H38" s="3" t="s">
        <v>85</v>
      </c>
      <c r="I38" s="3"/>
      <c r="J38" s="3"/>
      <c r="K38" s="3">
        <v>201</v>
      </c>
      <c r="L38" s="3">
        <v>1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202</v>
      </c>
      <c r="F39" s="3">
        <f>Source!P36</f>
        <v>85433.05</v>
      </c>
      <c r="G39" s="3" t="s">
        <v>86</v>
      </c>
      <c r="H39" s="3" t="s">
        <v>87</v>
      </c>
      <c r="I39" s="3"/>
      <c r="J39" s="3"/>
      <c r="K39" s="3">
        <v>202</v>
      </c>
      <c r="L39" s="3">
        <v>2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222</v>
      </c>
      <c r="F40" s="3">
        <f>Source!AN36</f>
        <v>0</v>
      </c>
      <c r="G40" s="3" t="s">
        <v>88</v>
      </c>
      <c r="H40" s="3" t="s">
        <v>89</v>
      </c>
      <c r="I40" s="3"/>
      <c r="J40" s="3"/>
      <c r="K40" s="3">
        <v>222</v>
      </c>
      <c r="L40" s="3">
        <v>3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216</v>
      </c>
      <c r="F41" s="3">
        <f>Source!AP36</f>
        <v>0</v>
      </c>
      <c r="G41" s="3" t="s">
        <v>90</v>
      </c>
      <c r="H41" s="3" t="s">
        <v>91</v>
      </c>
      <c r="I41" s="3"/>
      <c r="J41" s="3"/>
      <c r="K41" s="3">
        <v>216</v>
      </c>
      <c r="L41" s="3">
        <v>4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203</v>
      </c>
      <c r="F42" s="3">
        <f>Source!Q36</f>
        <v>7564.58</v>
      </c>
      <c r="G42" s="3" t="s">
        <v>92</v>
      </c>
      <c r="H42" s="3" t="s">
        <v>93</v>
      </c>
      <c r="I42" s="3"/>
      <c r="J42" s="3"/>
      <c r="K42" s="3">
        <v>203</v>
      </c>
      <c r="L42" s="3">
        <v>5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204</v>
      </c>
      <c r="F43" s="3">
        <f>Source!R36</f>
        <v>2519.95</v>
      </c>
      <c r="G43" s="3" t="s">
        <v>94</v>
      </c>
      <c r="H43" s="3" t="s">
        <v>95</v>
      </c>
      <c r="I43" s="3"/>
      <c r="J43" s="3"/>
      <c r="K43" s="3">
        <v>204</v>
      </c>
      <c r="L43" s="3">
        <v>6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205</v>
      </c>
      <c r="F44" s="3">
        <f>Source!S36</f>
        <v>20883.73</v>
      </c>
      <c r="G44" s="3" t="s">
        <v>96</v>
      </c>
      <c r="H44" s="3" t="s">
        <v>97</v>
      </c>
      <c r="I44" s="3"/>
      <c r="J44" s="3"/>
      <c r="K44" s="3">
        <v>205</v>
      </c>
      <c r="L44" s="3">
        <v>7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206</v>
      </c>
      <c r="F45" s="3">
        <f>Source!T36</f>
        <v>0</v>
      </c>
      <c r="G45" s="3" t="s">
        <v>98</v>
      </c>
      <c r="H45" s="3" t="s">
        <v>99</v>
      </c>
      <c r="I45" s="3"/>
      <c r="J45" s="3"/>
      <c r="K45" s="3">
        <v>206</v>
      </c>
      <c r="L45" s="3">
        <v>8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207</v>
      </c>
      <c r="F46" s="3">
        <f>Source!U36</f>
        <v>140.26</v>
      </c>
      <c r="G46" s="3" t="s">
        <v>100</v>
      </c>
      <c r="H46" s="3" t="s">
        <v>101</v>
      </c>
      <c r="I46" s="3"/>
      <c r="J46" s="3"/>
      <c r="K46" s="3">
        <v>207</v>
      </c>
      <c r="L46" s="3">
        <v>9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208</v>
      </c>
      <c r="F47" s="3">
        <f>Source!V36</f>
        <v>11.99</v>
      </c>
      <c r="G47" s="3" t="s">
        <v>102</v>
      </c>
      <c r="H47" s="3" t="s">
        <v>103</v>
      </c>
      <c r="I47" s="3"/>
      <c r="J47" s="3"/>
      <c r="K47" s="3">
        <v>208</v>
      </c>
      <c r="L47" s="3">
        <v>10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209</v>
      </c>
      <c r="F48" s="3">
        <f>Source!W36</f>
        <v>0</v>
      </c>
      <c r="G48" s="3" t="s">
        <v>104</v>
      </c>
      <c r="H48" s="3" t="s">
        <v>105</v>
      </c>
      <c r="I48" s="3"/>
      <c r="J48" s="3"/>
      <c r="K48" s="3">
        <v>209</v>
      </c>
      <c r="L48" s="3">
        <v>11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210</v>
      </c>
      <c r="F49" s="3">
        <f>Source!X36</f>
        <v>21474.62</v>
      </c>
      <c r="G49" s="3" t="s">
        <v>106</v>
      </c>
      <c r="H49" s="3" t="s">
        <v>107</v>
      </c>
      <c r="I49" s="3"/>
      <c r="J49" s="3"/>
      <c r="K49" s="3">
        <v>210</v>
      </c>
      <c r="L49" s="3">
        <v>12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211</v>
      </c>
      <c r="F50" s="3">
        <f>Source!Y36</f>
        <v>11979.73</v>
      </c>
      <c r="G50" s="3" t="s">
        <v>108</v>
      </c>
      <c r="H50" s="3" t="s">
        <v>109</v>
      </c>
      <c r="I50" s="3"/>
      <c r="J50" s="3"/>
      <c r="K50" s="3">
        <v>211</v>
      </c>
      <c r="L50" s="3">
        <v>13</v>
      </c>
      <c r="M50" s="3">
        <v>3</v>
      </c>
      <c r="N50" s="3" t="s">
        <v>3</v>
      </c>
    </row>
    <row r="52" spans="1:43" ht="12.75">
      <c r="A52" s="2">
        <v>51</v>
      </c>
      <c r="B52" s="2">
        <f>B12</f>
        <v>1</v>
      </c>
      <c r="C52" s="2">
        <f>A12</f>
        <v>1</v>
      </c>
      <c r="D52" s="2">
        <f>ROW(A12)</f>
        <v>12</v>
      </c>
      <c r="E52" s="2"/>
      <c r="F52" s="2" t="str">
        <f>IF(F12&lt;&gt;"",F12,"")</f>
        <v>Новый объект</v>
      </c>
      <c r="G52" s="2" t="str">
        <f>IF(G12&lt;&gt;"",G12,"")</f>
        <v>Б130 1 Мая дом24 и Трудовые резервы дом 10</v>
      </c>
      <c r="H52" s="2"/>
      <c r="I52" s="2"/>
      <c r="J52" s="2"/>
      <c r="K52" s="2"/>
      <c r="L52" s="2"/>
      <c r="M52" s="2"/>
      <c r="N52" s="2"/>
      <c r="O52" s="2">
        <f aca="true" t="shared" si="33" ref="O52:Y52">ROUND(O36,2)</f>
        <v>113881.36</v>
      </c>
      <c r="P52" s="2">
        <f t="shared" si="33"/>
        <v>85433.05</v>
      </c>
      <c r="Q52" s="2">
        <f t="shared" si="33"/>
        <v>7564.58</v>
      </c>
      <c r="R52" s="2">
        <f t="shared" si="33"/>
        <v>2519.95</v>
      </c>
      <c r="S52" s="2">
        <f t="shared" si="33"/>
        <v>20883.73</v>
      </c>
      <c r="T52" s="2">
        <f t="shared" si="33"/>
        <v>0</v>
      </c>
      <c r="U52" s="2">
        <f t="shared" si="33"/>
        <v>140.26</v>
      </c>
      <c r="V52" s="2">
        <f t="shared" si="33"/>
        <v>11.99</v>
      </c>
      <c r="W52" s="2">
        <f t="shared" si="33"/>
        <v>0</v>
      </c>
      <c r="X52" s="2">
        <f t="shared" si="33"/>
        <v>21474.62</v>
      </c>
      <c r="Y52" s="2">
        <f t="shared" si="33"/>
        <v>11979.73</v>
      </c>
      <c r="Z52" s="2"/>
      <c r="AA52" s="2"/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/>
      <c r="AN52" s="2">
        <f>ROUND(AN36,2)</f>
        <v>0</v>
      </c>
      <c r="AO52" s="2">
        <v>0</v>
      </c>
      <c r="AP52" s="2">
        <f>ROUND(AP36,2)</f>
        <v>0</v>
      </c>
      <c r="AQ52" s="2">
        <v>0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201</v>
      </c>
      <c r="F54" s="3">
        <f>Source!O52</f>
        <v>113881.36</v>
      </c>
      <c r="G54" s="3" t="s">
        <v>84</v>
      </c>
      <c r="H54" s="3" t="s">
        <v>85</v>
      </c>
      <c r="I54" s="3"/>
      <c r="J54" s="3"/>
      <c r="K54" s="3">
        <v>201</v>
      </c>
      <c r="L54" s="3">
        <v>1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202</v>
      </c>
      <c r="F55" s="3">
        <f>Source!P52</f>
        <v>85433.05</v>
      </c>
      <c r="G55" s="3" t="s">
        <v>86</v>
      </c>
      <c r="H55" s="3" t="s">
        <v>87</v>
      </c>
      <c r="I55" s="3"/>
      <c r="J55" s="3"/>
      <c r="K55" s="3">
        <v>202</v>
      </c>
      <c r="L55" s="3">
        <v>2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222</v>
      </c>
      <c r="F56" s="3">
        <f>Source!AN52</f>
        <v>0</v>
      </c>
      <c r="G56" s="3" t="s">
        <v>88</v>
      </c>
      <c r="H56" s="3" t="s">
        <v>89</v>
      </c>
      <c r="I56" s="3"/>
      <c r="J56" s="3"/>
      <c r="K56" s="3">
        <v>222</v>
      </c>
      <c r="L56" s="3">
        <v>3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216</v>
      </c>
      <c r="F57" s="3">
        <f>Source!AP52</f>
        <v>0</v>
      </c>
      <c r="G57" s="3" t="s">
        <v>90</v>
      </c>
      <c r="H57" s="3" t="s">
        <v>91</v>
      </c>
      <c r="I57" s="3"/>
      <c r="J57" s="3"/>
      <c r="K57" s="3">
        <v>216</v>
      </c>
      <c r="L57" s="3">
        <v>4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203</v>
      </c>
      <c r="F58" s="3">
        <f>Source!Q52</f>
        <v>7564.58</v>
      </c>
      <c r="G58" s="3" t="s">
        <v>92</v>
      </c>
      <c r="H58" s="3" t="s">
        <v>93</v>
      </c>
      <c r="I58" s="3"/>
      <c r="J58" s="3"/>
      <c r="K58" s="3">
        <v>203</v>
      </c>
      <c r="L58" s="3">
        <v>5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204</v>
      </c>
      <c r="F59" s="3">
        <f>Source!R52</f>
        <v>2519.95</v>
      </c>
      <c r="G59" s="3" t="s">
        <v>94</v>
      </c>
      <c r="H59" s="3" t="s">
        <v>95</v>
      </c>
      <c r="I59" s="3"/>
      <c r="J59" s="3"/>
      <c r="K59" s="3">
        <v>204</v>
      </c>
      <c r="L59" s="3">
        <v>6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205</v>
      </c>
      <c r="F60" s="3">
        <f>Source!S52</f>
        <v>20883.73</v>
      </c>
      <c r="G60" s="3" t="s">
        <v>96</v>
      </c>
      <c r="H60" s="3" t="s">
        <v>97</v>
      </c>
      <c r="I60" s="3"/>
      <c r="J60" s="3"/>
      <c r="K60" s="3">
        <v>205</v>
      </c>
      <c r="L60" s="3">
        <v>7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206</v>
      </c>
      <c r="F61" s="3">
        <f>Source!T52</f>
        <v>0</v>
      </c>
      <c r="G61" s="3" t="s">
        <v>98</v>
      </c>
      <c r="H61" s="3" t="s">
        <v>99</v>
      </c>
      <c r="I61" s="3"/>
      <c r="J61" s="3"/>
      <c r="K61" s="3">
        <v>206</v>
      </c>
      <c r="L61" s="3">
        <v>8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207</v>
      </c>
      <c r="F62" s="3">
        <f>Source!U52</f>
        <v>140.26</v>
      </c>
      <c r="G62" s="3" t="s">
        <v>100</v>
      </c>
      <c r="H62" s="3" t="s">
        <v>101</v>
      </c>
      <c r="I62" s="3"/>
      <c r="J62" s="3"/>
      <c r="K62" s="3">
        <v>207</v>
      </c>
      <c r="L62" s="3">
        <v>9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208</v>
      </c>
      <c r="F63" s="3">
        <f>Source!V52</f>
        <v>11.99</v>
      </c>
      <c r="G63" s="3" t="s">
        <v>102</v>
      </c>
      <c r="H63" s="3" t="s">
        <v>103</v>
      </c>
      <c r="I63" s="3"/>
      <c r="J63" s="3"/>
      <c r="K63" s="3">
        <v>208</v>
      </c>
      <c r="L63" s="3">
        <v>10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209</v>
      </c>
      <c r="F64" s="3">
        <f>Source!W52</f>
        <v>0</v>
      </c>
      <c r="G64" s="3" t="s">
        <v>104</v>
      </c>
      <c r="H64" s="3" t="s">
        <v>105</v>
      </c>
      <c r="I64" s="3"/>
      <c r="J64" s="3"/>
      <c r="K64" s="3">
        <v>209</v>
      </c>
      <c r="L64" s="3">
        <v>11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210</v>
      </c>
      <c r="F65" s="3">
        <f>Source!X52</f>
        <v>21474.62</v>
      </c>
      <c r="G65" s="3" t="s">
        <v>106</v>
      </c>
      <c r="H65" s="3" t="s">
        <v>107</v>
      </c>
      <c r="I65" s="3"/>
      <c r="J65" s="3"/>
      <c r="K65" s="3">
        <v>210</v>
      </c>
      <c r="L65" s="3">
        <v>12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211</v>
      </c>
      <c r="F66" s="3">
        <f>Source!Y52</f>
        <v>11979.73</v>
      </c>
      <c r="G66" s="3" t="s">
        <v>108</v>
      </c>
      <c r="H66" s="3" t="s">
        <v>109</v>
      </c>
      <c r="I66" s="3"/>
      <c r="J66" s="3"/>
      <c r="K66" s="3">
        <v>211</v>
      </c>
      <c r="L66" s="3">
        <v>13</v>
      </c>
      <c r="M66" s="3">
        <v>3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ROUND(Source!F54+Source!F65+Source!F66,2)</f>
        <v>147335.71</v>
      </c>
      <c r="G67" s="3" t="s">
        <v>110</v>
      </c>
      <c r="H67" s="3" t="s">
        <v>111</v>
      </c>
      <c r="I67" s="3"/>
      <c r="J67" s="3"/>
      <c r="K67" s="3">
        <v>212</v>
      </c>
      <c r="L67" s="3">
        <v>14</v>
      </c>
      <c r="M67" s="3">
        <v>0</v>
      </c>
      <c r="N67" s="3" t="s">
        <v>3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0</v>
      </c>
      <c r="F68" s="3">
        <f>ROUND(Source!F67*0.18,2)</f>
        <v>26520.43</v>
      </c>
      <c r="G68" s="3" t="s">
        <v>112</v>
      </c>
      <c r="H68" s="3" t="s">
        <v>113</v>
      </c>
      <c r="I68" s="3"/>
      <c r="J68" s="3"/>
      <c r="K68" s="3">
        <v>212</v>
      </c>
      <c r="L68" s="3">
        <v>15</v>
      </c>
      <c r="M68" s="3">
        <v>0</v>
      </c>
      <c r="N68" s="3" t="s">
        <v>3</v>
      </c>
    </row>
    <row r="69" spans="1:14" ht="12.75">
      <c r="A69" s="3">
        <v>50</v>
      </c>
      <c r="B69" s="3">
        <v>1</v>
      </c>
      <c r="C69" s="3">
        <v>0</v>
      </c>
      <c r="D69" s="3">
        <v>2</v>
      </c>
      <c r="E69" s="3">
        <v>213</v>
      </c>
      <c r="F69" s="3">
        <f>ROUND(Source!F67+Source!F68,2)</f>
        <v>173856.14</v>
      </c>
      <c r="G69" s="3" t="s">
        <v>114</v>
      </c>
      <c r="H69" s="3" t="s">
        <v>114</v>
      </c>
      <c r="I69" s="3"/>
      <c r="J69" s="3"/>
      <c r="K69" s="3">
        <v>212</v>
      </c>
      <c r="L69" s="3">
        <v>16</v>
      </c>
      <c r="M69" s="3">
        <v>0</v>
      </c>
      <c r="N69" s="3" t="s">
        <v>3</v>
      </c>
    </row>
    <row r="72" spans="1:14" ht="12.75">
      <c r="A72">
        <v>70</v>
      </c>
      <c r="B72">
        <v>1</v>
      </c>
      <c r="D72">
        <v>0</v>
      </c>
      <c r="E72" t="s">
        <v>115</v>
      </c>
      <c r="F72" t="s">
        <v>116</v>
      </c>
      <c r="G72">
        <v>1</v>
      </c>
      <c r="H72">
        <v>1</v>
      </c>
      <c r="I72" t="s">
        <v>117</v>
      </c>
      <c r="J72">
        <v>0</v>
      </c>
      <c r="K72">
        <v>0</v>
      </c>
      <c r="N72">
        <v>0</v>
      </c>
    </row>
    <row r="73" spans="1:14" ht="12.75">
      <c r="A73">
        <v>70</v>
      </c>
      <c r="B73">
        <v>1</v>
      </c>
      <c r="D73">
        <v>0</v>
      </c>
      <c r="E73" t="s">
        <v>118</v>
      </c>
      <c r="F73" t="s">
        <v>119</v>
      </c>
      <c r="G73">
        <v>1</v>
      </c>
      <c r="H73">
        <v>1</v>
      </c>
      <c r="I73" t="s">
        <v>120</v>
      </c>
      <c r="J73">
        <v>0</v>
      </c>
      <c r="K73">
        <v>0</v>
      </c>
      <c r="N73">
        <v>0</v>
      </c>
    </row>
    <row r="74" spans="1:14" ht="12.75">
      <c r="A74">
        <v>70</v>
      </c>
      <c r="B74">
        <v>1</v>
      </c>
      <c r="D74">
        <v>0</v>
      </c>
      <c r="E74" t="s">
        <v>121</v>
      </c>
      <c r="F74" t="s">
        <v>122</v>
      </c>
      <c r="G74">
        <v>1</v>
      </c>
      <c r="H74">
        <v>0</v>
      </c>
      <c r="I74" t="s">
        <v>123</v>
      </c>
      <c r="J74">
        <v>0</v>
      </c>
      <c r="K74">
        <v>0</v>
      </c>
      <c r="N74">
        <v>0</v>
      </c>
    </row>
    <row r="75" spans="1:14" ht="12.75">
      <c r="A75">
        <v>70</v>
      </c>
      <c r="B75">
        <v>1</v>
      </c>
      <c r="D75">
        <v>0</v>
      </c>
      <c r="E75" t="s">
        <v>124</v>
      </c>
      <c r="F75" t="s">
        <v>125</v>
      </c>
      <c r="G75">
        <v>0.85</v>
      </c>
      <c r="H75">
        <v>0.85</v>
      </c>
      <c r="I75" t="s">
        <v>126</v>
      </c>
      <c r="J75">
        <v>0</v>
      </c>
      <c r="K75">
        <v>0</v>
      </c>
      <c r="N75">
        <v>0</v>
      </c>
    </row>
    <row r="76" spans="1:14" ht="12.75">
      <c r="A76">
        <v>70</v>
      </c>
      <c r="B76">
        <v>1</v>
      </c>
      <c r="D76">
        <v>0</v>
      </c>
      <c r="E76" t="s">
        <v>127</v>
      </c>
      <c r="F76" t="s">
        <v>128</v>
      </c>
      <c r="G76">
        <v>0.8</v>
      </c>
      <c r="H76">
        <v>0.8</v>
      </c>
      <c r="I76" t="s">
        <v>129</v>
      </c>
      <c r="J76">
        <v>0</v>
      </c>
      <c r="K76">
        <v>0</v>
      </c>
      <c r="N76">
        <v>0</v>
      </c>
    </row>
    <row r="77" spans="1:14" ht="12.75">
      <c r="A77">
        <v>70</v>
      </c>
      <c r="B77">
        <v>1</v>
      </c>
      <c r="D77">
        <v>0</v>
      </c>
      <c r="E77" t="s">
        <v>130</v>
      </c>
      <c r="F77" t="s">
        <v>131</v>
      </c>
      <c r="G77">
        <v>1</v>
      </c>
      <c r="H77">
        <v>1</v>
      </c>
      <c r="I77" t="s">
        <v>132</v>
      </c>
      <c r="J77">
        <v>0</v>
      </c>
      <c r="K77">
        <v>0</v>
      </c>
      <c r="N77">
        <v>0</v>
      </c>
    </row>
    <row r="78" spans="1:14" ht="12.75">
      <c r="A78">
        <v>70</v>
      </c>
      <c r="B78">
        <v>1</v>
      </c>
      <c r="D78">
        <v>0</v>
      </c>
      <c r="E78" t="s">
        <v>133</v>
      </c>
      <c r="F78" t="s">
        <v>134</v>
      </c>
      <c r="G78">
        <v>0</v>
      </c>
      <c r="H78">
        <v>0</v>
      </c>
      <c r="I78" t="s">
        <v>135</v>
      </c>
      <c r="J78">
        <v>0</v>
      </c>
      <c r="K78">
        <v>0</v>
      </c>
      <c r="N78">
        <v>0</v>
      </c>
    </row>
    <row r="79" spans="1:14" ht="12.75">
      <c r="A79">
        <v>70</v>
      </c>
      <c r="B79">
        <v>1</v>
      </c>
      <c r="D79">
        <v>0</v>
      </c>
      <c r="E79" t="s">
        <v>136</v>
      </c>
      <c r="F79" t="s">
        <v>137</v>
      </c>
      <c r="G79">
        <v>0</v>
      </c>
      <c r="H79">
        <v>0</v>
      </c>
      <c r="I79" t="s">
        <v>138</v>
      </c>
      <c r="J79">
        <v>0</v>
      </c>
      <c r="K79">
        <v>0</v>
      </c>
      <c r="N79">
        <v>0</v>
      </c>
    </row>
    <row r="80" spans="1:14" ht="12.75">
      <c r="A80">
        <v>70</v>
      </c>
      <c r="B80">
        <v>1</v>
      </c>
      <c r="D80">
        <v>0</v>
      </c>
      <c r="E80" t="s">
        <v>139</v>
      </c>
      <c r="F80" t="s">
        <v>140</v>
      </c>
      <c r="G80">
        <v>1</v>
      </c>
      <c r="H80">
        <v>1</v>
      </c>
      <c r="I80" t="s">
        <v>141</v>
      </c>
      <c r="J80">
        <v>0</v>
      </c>
      <c r="K80">
        <v>0</v>
      </c>
      <c r="N80">
        <v>0</v>
      </c>
    </row>
    <row r="81" spans="1:14" ht="12.75">
      <c r="A81">
        <v>70</v>
      </c>
      <c r="B81">
        <v>1</v>
      </c>
      <c r="D81">
        <v>0</v>
      </c>
      <c r="E81" t="s">
        <v>142</v>
      </c>
      <c r="F81" t="s">
        <v>143</v>
      </c>
      <c r="G81">
        <v>0</v>
      </c>
      <c r="H81">
        <v>0</v>
      </c>
      <c r="I81" t="s">
        <v>144</v>
      </c>
      <c r="J81">
        <v>0</v>
      </c>
      <c r="K81">
        <v>0</v>
      </c>
      <c r="N81">
        <v>0</v>
      </c>
    </row>
    <row r="82" spans="1:14" ht="12.75">
      <c r="A82">
        <v>70</v>
      </c>
      <c r="B82">
        <v>1</v>
      </c>
      <c r="D82">
        <v>0</v>
      </c>
      <c r="E82" t="s">
        <v>145</v>
      </c>
      <c r="F82" t="s">
        <v>146</v>
      </c>
      <c r="G82">
        <v>0</v>
      </c>
      <c r="H82">
        <v>0</v>
      </c>
      <c r="I82" t="s">
        <v>147</v>
      </c>
      <c r="J82">
        <v>0</v>
      </c>
      <c r="K82">
        <v>0</v>
      </c>
      <c r="N82">
        <v>0</v>
      </c>
    </row>
    <row r="83" spans="1:14" ht="12.75">
      <c r="A83">
        <v>70</v>
      </c>
      <c r="B83">
        <v>1</v>
      </c>
      <c r="D83">
        <v>0</v>
      </c>
      <c r="E83" t="s">
        <v>148</v>
      </c>
      <c r="F83" t="s">
        <v>149</v>
      </c>
      <c r="G83">
        <v>0.94</v>
      </c>
      <c r="H83">
        <v>0.94</v>
      </c>
      <c r="I83" t="s">
        <v>150</v>
      </c>
      <c r="J83">
        <v>0</v>
      </c>
      <c r="K83">
        <v>0</v>
      </c>
      <c r="N83">
        <v>0</v>
      </c>
    </row>
    <row r="84" spans="1:14" ht="12.75">
      <c r="A84">
        <v>70</v>
      </c>
      <c r="B84">
        <v>1</v>
      </c>
      <c r="D84">
        <v>0</v>
      </c>
      <c r="E84" t="s">
        <v>151</v>
      </c>
      <c r="F84" t="s">
        <v>152</v>
      </c>
      <c r="G84">
        <v>0</v>
      </c>
      <c r="H84">
        <v>0</v>
      </c>
      <c r="I84" t="s">
        <v>153</v>
      </c>
      <c r="J84">
        <v>0</v>
      </c>
      <c r="K84">
        <v>0</v>
      </c>
      <c r="N84">
        <v>0</v>
      </c>
    </row>
    <row r="85" spans="1:14" ht="12.75">
      <c r="A85">
        <v>70</v>
      </c>
      <c r="B85">
        <v>1</v>
      </c>
      <c r="D85">
        <v>0</v>
      </c>
      <c r="E85" t="s">
        <v>154</v>
      </c>
      <c r="F85" t="s">
        <v>155</v>
      </c>
      <c r="G85">
        <v>0</v>
      </c>
      <c r="H85">
        <v>0</v>
      </c>
      <c r="I85" t="s">
        <v>156</v>
      </c>
      <c r="J85">
        <v>0</v>
      </c>
      <c r="K85">
        <v>0</v>
      </c>
      <c r="N85">
        <v>0</v>
      </c>
    </row>
    <row r="86" spans="1:14" ht="12.75">
      <c r="A86">
        <v>70</v>
      </c>
      <c r="B86">
        <v>1</v>
      </c>
      <c r="D86">
        <v>0</v>
      </c>
      <c r="E86" t="s">
        <v>157</v>
      </c>
      <c r="F86" t="s">
        <v>158</v>
      </c>
      <c r="G86">
        <v>0</v>
      </c>
      <c r="H86">
        <v>0</v>
      </c>
      <c r="I86" t="s">
        <v>159</v>
      </c>
      <c r="J86">
        <v>0</v>
      </c>
      <c r="K86">
        <v>0</v>
      </c>
      <c r="N86">
        <v>0</v>
      </c>
    </row>
    <row r="89" spans="1:5" ht="12.75">
      <c r="A89">
        <v>65</v>
      </c>
      <c r="C89">
        <v>1</v>
      </c>
      <c r="D89">
        <v>0</v>
      </c>
      <c r="E8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28184833</v>
      </c>
      <c r="C1">
        <v>28184832</v>
      </c>
      <c r="D1">
        <v>25476394</v>
      </c>
      <c r="E1">
        <v>1</v>
      </c>
      <c r="F1">
        <v>1</v>
      </c>
      <c r="G1">
        <v>1</v>
      </c>
      <c r="H1">
        <v>1</v>
      </c>
      <c r="I1" t="s">
        <v>160</v>
      </c>
      <c r="K1" t="s">
        <v>161</v>
      </c>
      <c r="L1">
        <v>1369</v>
      </c>
      <c r="N1">
        <v>1013</v>
      </c>
      <c r="O1" t="s">
        <v>162</v>
      </c>
      <c r="P1" t="s">
        <v>162</v>
      </c>
      <c r="Q1">
        <v>1</v>
      </c>
      <c r="Y1">
        <v>129.8</v>
      </c>
      <c r="AA1">
        <v>0</v>
      </c>
      <c r="AB1">
        <v>0</v>
      </c>
      <c r="AC1">
        <v>0</v>
      </c>
      <c r="AD1">
        <v>8.31</v>
      </c>
      <c r="AN1">
        <v>0</v>
      </c>
      <c r="AO1">
        <v>1</v>
      </c>
      <c r="AP1">
        <v>0</v>
      </c>
      <c r="AQ1">
        <v>0</v>
      </c>
      <c r="AR1">
        <v>0</v>
      </c>
      <c r="AT1">
        <v>129.8</v>
      </c>
      <c r="AV1">
        <v>1</v>
      </c>
      <c r="AW1">
        <v>2</v>
      </c>
      <c r="AX1">
        <v>28184833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28184834</v>
      </c>
      <c r="C2">
        <v>28184832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163</v>
      </c>
      <c r="L2">
        <v>608254</v>
      </c>
      <c r="N2">
        <v>1013</v>
      </c>
      <c r="O2" t="s">
        <v>164</v>
      </c>
      <c r="P2" t="s">
        <v>164</v>
      </c>
      <c r="Q2">
        <v>1</v>
      </c>
      <c r="Y2">
        <v>7.52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7.52</v>
      </c>
      <c r="AV2">
        <v>2</v>
      </c>
      <c r="AW2">
        <v>2</v>
      </c>
      <c r="AX2">
        <v>28184834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28184835</v>
      </c>
      <c r="C3">
        <v>28184832</v>
      </c>
      <c r="D3">
        <v>25421932</v>
      </c>
      <c r="E3">
        <v>1</v>
      </c>
      <c r="F3">
        <v>1</v>
      </c>
      <c r="G3">
        <v>1</v>
      </c>
      <c r="H3">
        <v>2</v>
      </c>
      <c r="I3" t="s">
        <v>165</v>
      </c>
      <c r="J3" t="s">
        <v>166</v>
      </c>
      <c r="K3" t="s">
        <v>167</v>
      </c>
      <c r="L3">
        <v>1368</v>
      </c>
      <c r="N3">
        <v>1011</v>
      </c>
      <c r="O3" t="s">
        <v>168</v>
      </c>
      <c r="P3" t="s">
        <v>168</v>
      </c>
      <c r="Q3">
        <v>1</v>
      </c>
      <c r="Y3">
        <v>4.1</v>
      </c>
      <c r="AA3">
        <v>0</v>
      </c>
      <c r="AB3">
        <v>46.56</v>
      </c>
      <c r="AC3">
        <v>10.06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4.1</v>
      </c>
      <c r="AV3">
        <v>0</v>
      </c>
      <c r="AW3">
        <v>2</v>
      </c>
      <c r="AX3">
        <v>28184835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28184836</v>
      </c>
      <c r="C4">
        <v>28184832</v>
      </c>
      <c r="D4">
        <v>25422321</v>
      </c>
      <c r="E4">
        <v>1</v>
      </c>
      <c r="F4">
        <v>1</v>
      </c>
      <c r="G4">
        <v>1</v>
      </c>
      <c r="H4">
        <v>2</v>
      </c>
      <c r="I4" t="s">
        <v>169</v>
      </c>
      <c r="J4" t="s">
        <v>170</v>
      </c>
      <c r="K4" t="s">
        <v>171</v>
      </c>
      <c r="L4">
        <v>1368</v>
      </c>
      <c r="N4">
        <v>1011</v>
      </c>
      <c r="O4" t="s">
        <v>168</v>
      </c>
      <c r="P4" t="s">
        <v>168</v>
      </c>
      <c r="Q4">
        <v>1</v>
      </c>
      <c r="Y4">
        <v>3.42</v>
      </c>
      <c r="AA4">
        <v>0</v>
      </c>
      <c r="AB4">
        <v>75</v>
      </c>
      <c r="AC4">
        <v>11.6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3.42</v>
      </c>
      <c r="AV4">
        <v>0</v>
      </c>
      <c r="AW4">
        <v>2</v>
      </c>
      <c r="AX4">
        <v>28184836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28184837</v>
      </c>
      <c r="C5">
        <v>28184832</v>
      </c>
      <c r="D5">
        <v>25422344</v>
      </c>
      <c r="E5">
        <v>1</v>
      </c>
      <c r="F5">
        <v>1</v>
      </c>
      <c r="G5">
        <v>1</v>
      </c>
      <c r="H5">
        <v>2</v>
      </c>
      <c r="I5" t="s">
        <v>172</v>
      </c>
      <c r="J5" t="s">
        <v>173</v>
      </c>
      <c r="K5" t="s">
        <v>174</v>
      </c>
      <c r="L5">
        <v>1368</v>
      </c>
      <c r="N5">
        <v>1011</v>
      </c>
      <c r="O5" t="s">
        <v>168</v>
      </c>
      <c r="P5" t="s">
        <v>168</v>
      </c>
      <c r="Q5">
        <v>1</v>
      </c>
      <c r="Y5">
        <v>1.4</v>
      </c>
      <c r="AA5">
        <v>0</v>
      </c>
      <c r="AB5">
        <v>30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1.4</v>
      </c>
      <c r="AV5">
        <v>0</v>
      </c>
      <c r="AW5">
        <v>2</v>
      </c>
      <c r="AX5">
        <v>28184837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28184838</v>
      </c>
      <c r="C6">
        <v>28184832</v>
      </c>
      <c r="D6">
        <v>25423147</v>
      </c>
      <c r="E6">
        <v>1</v>
      </c>
      <c r="F6">
        <v>1</v>
      </c>
      <c r="G6">
        <v>1</v>
      </c>
      <c r="H6">
        <v>2</v>
      </c>
      <c r="I6" t="s">
        <v>175</v>
      </c>
      <c r="J6" t="s">
        <v>176</v>
      </c>
      <c r="K6" t="s">
        <v>177</v>
      </c>
      <c r="L6">
        <v>1368</v>
      </c>
      <c r="N6">
        <v>1011</v>
      </c>
      <c r="O6" t="s">
        <v>168</v>
      </c>
      <c r="P6" t="s">
        <v>168</v>
      </c>
      <c r="Q6">
        <v>1</v>
      </c>
      <c r="Y6">
        <v>8.2</v>
      </c>
      <c r="AA6">
        <v>0</v>
      </c>
      <c r="AB6">
        <v>1.53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8.2</v>
      </c>
      <c r="AV6">
        <v>0</v>
      </c>
      <c r="AW6">
        <v>2</v>
      </c>
      <c r="AX6">
        <v>28184838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28184839</v>
      </c>
      <c r="C7">
        <v>28184832</v>
      </c>
      <c r="D7">
        <v>25423431</v>
      </c>
      <c r="E7">
        <v>1</v>
      </c>
      <c r="F7">
        <v>1</v>
      </c>
      <c r="G7">
        <v>1</v>
      </c>
      <c r="H7">
        <v>2</v>
      </c>
      <c r="I7" t="s">
        <v>178</v>
      </c>
      <c r="J7" t="s">
        <v>179</v>
      </c>
      <c r="K7" t="s">
        <v>180</v>
      </c>
      <c r="L7">
        <v>1368</v>
      </c>
      <c r="N7">
        <v>1011</v>
      </c>
      <c r="O7" t="s">
        <v>168</v>
      </c>
      <c r="P7" t="s">
        <v>168</v>
      </c>
      <c r="Q7">
        <v>1</v>
      </c>
      <c r="Y7">
        <v>0.14</v>
      </c>
      <c r="AA7">
        <v>0</v>
      </c>
      <c r="AB7">
        <v>87.17</v>
      </c>
      <c r="AC7">
        <v>11.6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0.14</v>
      </c>
      <c r="AV7">
        <v>0</v>
      </c>
      <c r="AW7">
        <v>2</v>
      </c>
      <c r="AX7">
        <v>28184839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ROW(Source!A24)</f>
        <v>24</v>
      </c>
      <c r="B8">
        <v>28184840</v>
      </c>
      <c r="C8">
        <v>28184832</v>
      </c>
      <c r="D8">
        <v>25425153</v>
      </c>
      <c r="E8">
        <v>1</v>
      </c>
      <c r="F8">
        <v>1</v>
      </c>
      <c r="G8">
        <v>1</v>
      </c>
      <c r="H8">
        <v>3</v>
      </c>
      <c r="I8" t="s">
        <v>181</v>
      </c>
      <c r="J8" t="s">
        <v>182</v>
      </c>
      <c r="K8" t="s">
        <v>183</v>
      </c>
      <c r="L8">
        <v>1348</v>
      </c>
      <c r="N8">
        <v>1009</v>
      </c>
      <c r="O8" t="s">
        <v>74</v>
      </c>
      <c r="P8" t="s">
        <v>74</v>
      </c>
      <c r="Q8">
        <v>1000</v>
      </c>
      <c r="Y8">
        <v>0.08</v>
      </c>
      <c r="AA8">
        <v>1690.01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0.08</v>
      </c>
      <c r="AV8">
        <v>0</v>
      </c>
      <c r="AW8">
        <v>2</v>
      </c>
      <c r="AX8">
        <v>28184840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ROW(Source!A24)</f>
        <v>24</v>
      </c>
      <c r="B9">
        <v>28184841</v>
      </c>
      <c r="C9">
        <v>28184832</v>
      </c>
      <c r="D9">
        <v>25443075</v>
      </c>
      <c r="E9">
        <v>1</v>
      </c>
      <c r="F9">
        <v>1</v>
      </c>
      <c r="G9">
        <v>1</v>
      </c>
      <c r="H9">
        <v>3</v>
      </c>
      <c r="I9" t="s">
        <v>184</v>
      </c>
      <c r="J9" t="s">
        <v>185</v>
      </c>
      <c r="K9" t="s">
        <v>186</v>
      </c>
      <c r="L9">
        <v>1348</v>
      </c>
      <c r="N9">
        <v>1009</v>
      </c>
      <c r="O9" t="s">
        <v>74</v>
      </c>
      <c r="P9" t="s">
        <v>74</v>
      </c>
      <c r="Q9">
        <v>1000</v>
      </c>
      <c r="Y9">
        <v>16.6</v>
      </c>
      <c r="AA9">
        <v>459.91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16.6</v>
      </c>
      <c r="AV9">
        <v>0</v>
      </c>
      <c r="AW9">
        <v>2</v>
      </c>
      <c r="AX9">
        <v>28184841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ROW(Source!A24)</f>
        <v>24</v>
      </c>
      <c r="B10">
        <v>28184842</v>
      </c>
      <c r="C10">
        <v>28184832</v>
      </c>
      <c r="D10">
        <v>25454692</v>
      </c>
      <c r="E10">
        <v>1</v>
      </c>
      <c r="F10">
        <v>1</v>
      </c>
      <c r="G10">
        <v>1</v>
      </c>
      <c r="H10">
        <v>3</v>
      </c>
      <c r="I10" t="s">
        <v>187</v>
      </c>
      <c r="J10" t="s">
        <v>188</v>
      </c>
      <c r="K10" t="s">
        <v>189</v>
      </c>
      <c r="L10">
        <v>1348</v>
      </c>
      <c r="N10">
        <v>1009</v>
      </c>
      <c r="O10" t="s">
        <v>74</v>
      </c>
      <c r="P10" t="s">
        <v>74</v>
      </c>
      <c r="Q10">
        <v>1000</v>
      </c>
      <c r="Y10">
        <v>12.5</v>
      </c>
      <c r="AA10">
        <v>0</v>
      </c>
      <c r="AB10">
        <v>0</v>
      </c>
      <c r="AC10">
        <v>0</v>
      </c>
      <c r="AD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T10">
        <v>12.5</v>
      </c>
      <c r="AV10">
        <v>0</v>
      </c>
      <c r="AW10">
        <v>2</v>
      </c>
      <c r="AX10">
        <v>28184842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ROW(Source!A25)</f>
        <v>25</v>
      </c>
      <c r="B11">
        <v>28181180</v>
      </c>
      <c r="C11">
        <v>28181179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25</v>
      </c>
      <c r="K11" t="s">
        <v>163</v>
      </c>
      <c r="L11">
        <v>608254</v>
      </c>
      <c r="N11">
        <v>1013</v>
      </c>
      <c r="O11" t="s">
        <v>164</v>
      </c>
      <c r="P11" t="s">
        <v>164</v>
      </c>
      <c r="Q11">
        <v>1</v>
      </c>
      <c r="Y11">
        <v>0.38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0.38</v>
      </c>
      <c r="AV11">
        <v>2</v>
      </c>
      <c r="AW11">
        <v>2</v>
      </c>
      <c r="AX11">
        <v>28181180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ROW(Source!A25)</f>
        <v>25</v>
      </c>
      <c r="B12">
        <v>28181181</v>
      </c>
      <c r="C12">
        <v>28181179</v>
      </c>
      <c r="D12">
        <v>25422054</v>
      </c>
      <c r="E12">
        <v>1</v>
      </c>
      <c r="F12">
        <v>1</v>
      </c>
      <c r="G12">
        <v>1</v>
      </c>
      <c r="H12">
        <v>2</v>
      </c>
      <c r="I12" t="s">
        <v>190</v>
      </c>
      <c r="J12" t="s">
        <v>191</v>
      </c>
      <c r="K12" t="s">
        <v>192</v>
      </c>
      <c r="L12">
        <v>1368</v>
      </c>
      <c r="N12">
        <v>1011</v>
      </c>
      <c r="O12" t="s">
        <v>168</v>
      </c>
      <c r="P12" t="s">
        <v>168</v>
      </c>
      <c r="Q12">
        <v>1</v>
      </c>
      <c r="Y12">
        <v>0.38</v>
      </c>
      <c r="AA12">
        <v>0</v>
      </c>
      <c r="AB12">
        <v>61.3</v>
      </c>
      <c r="AC12">
        <v>13.5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0.38</v>
      </c>
      <c r="AV12">
        <v>0</v>
      </c>
      <c r="AW12">
        <v>2</v>
      </c>
      <c r="AX12">
        <v>28181181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28181183</v>
      </c>
      <c r="C13">
        <v>28181182</v>
      </c>
      <c r="D13">
        <v>25473910</v>
      </c>
      <c r="E13">
        <v>1</v>
      </c>
      <c r="F13">
        <v>1</v>
      </c>
      <c r="G13">
        <v>1</v>
      </c>
      <c r="H13">
        <v>1</v>
      </c>
      <c r="I13" t="s">
        <v>193</v>
      </c>
      <c r="K13" t="s">
        <v>194</v>
      </c>
      <c r="L13">
        <v>1369</v>
      </c>
      <c r="N13">
        <v>1013</v>
      </c>
      <c r="O13" t="s">
        <v>162</v>
      </c>
      <c r="P13" t="s">
        <v>162</v>
      </c>
      <c r="Q13">
        <v>1</v>
      </c>
      <c r="Y13">
        <v>15.72</v>
      </c>
      <c r="AA13">
        <v>0</v>
      </c>
      <c r="AB13">
        <v>0</v>
      </c>
      <c r="AC13">
        <v>0</v>
      </c>
      <c r="AD13">
        <v>8.02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15.72</v>
      </c>
      <c r="AV13">
        <v>1</v>
      </c>
      <c r="AW13">
        <v>2</v>
      </c>
      <c r="AX13">
        <v>28181183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28181184</v>
      </c>
      <c r="C14">
        <v>28181182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25</v>
      </c>
      <c r="K14" t="s">
        <v>163</v>
      </c>
      <c r="L14">
        <v>608254</v>
      </c>
      <c r="N14">
        <v>1013</v>
      </c>
      <c r="O14" t="s">
        <v>164</v>
      </c>
      <c r="P14" t="s">
        <v>164</v>
      </c>
      <c r="Q14">
        <v>1</v>
      </c>
      <c r="Y14">
        <v>13.88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13.88</v>
      </c>
      <c r="AV14">
        <v>2</v>
      </c>
      <c r="AW14">
        <v>2</v>
      </c>
      <c r="AX14">
        <v>28181184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28181185</v>
      </c>
      <c r="C15">
        <v>28181182</v>
      </c>
      <c r="D15">
        <v>25421764</v>
      </c>
      <c r="E15">
        <v>1</v>
      </c>
      <c r="F15">
        <v>1</v>
      </c>
      <c r="G15">
        <v>1</v>
      </c>
      <c r="H15">
        <v>2</v>
      </c>
      <c r="I15" t="s">
        <v>195</v>
      </c>
      <c r="J15" t="s">
        <v>196</v>
      </c>
      <c r="K15" t="s">
        <v>197</v>
      </c>
      <c r="L15">
        <v>1368</v>
      </c>
      <c r="N15">
        <v>1011</v>
      </c>
      <c r="O15" t="s">
        <v>168</v>
      </c>
      <c r="P15" t="s">
        <v>168</v>
      </c>
      <c r="Q15">
        <v>1</v>
      </c>
      <c r="Y15">
        <v>4.29</v>
      </c>
      <c r="AA15">
        <v>0</v>
      </c>
      <c r="AB15">
        <v>99.89</v>
      </c>
      <c r="AC15">
        <v>10.06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4.29</v>
      </c>
      <c r="AV15">
        <v>0</v>
      </c>
      <c r="AW15">
        <v>2</v>
      </c>
      <c r="AX15">
        <v>28181185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ROW(Source!A26)</f>
        <v>26</v>
      </c>
      <c r="B16">
        <v>28181186</v>
      </c>
      <c r="C16">
        <v>28181182</v>
      </c>
      <c r="D16">
        <v>25422296</v>
      </c>
      <c r="E16">
        <v>1</v>
      </c>
      <c r="F16">
        <v>1</v>
      </c>
      <c r="G16">
        <v>1</v>
      </c>
      <c r="H16">
        <v>2</v>
      </c>
      <c r="I16" t="s">
        <v>198</v>
      </c>
      <c r="J16" t="s">
        <v>199</v>
      </c>
      <c r="K16" t="s">
        <v>200</v>
      </c>
      <c r="L16">
        <v>1368</v>
      </c>
      <c r="N16">
        <v>1011</v>
      </c>
      <c r="O16" t="s">
        <v>168</v>
      </c>
      <c r="P16" t="s">
        <v>168</v>
      </c>
      <c r="Q16">
        <v>1</v>
      </c>
      <c r="Y16">
        <v>1.77</v>
      </c>
      <c r="AA16">
        <v>0</v>
      </c>
      <c r="AB16">
        <v>123</v>
      </c>
      <c r="AC16">
        <v>13.5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1.77</v>
      </c>
      <c r="AV16">
        <v>0</v>
      </c>
      <c r="AW16">
        <v>2</v>
      </c>
      <c r="AX16">
        <v>28181186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28181187</v>
      </c>
      <c r="C17">
        <v>28181182</v>
      </c>
      <c r="D17">
        <v>25422326</v>
      </c>
      <c r="E17">
        <v>1</v>
      </c>
      <c r="F17">
        <v>1</v>
      </c>
      <c r="G17">
        <v>1</v>
      </c>
      <c r="H17">
        <v>2</v>
      </c>
      <c r="I17" t="s">
        <v>201</v>
      </c>
      <c r="J17" t="s">
        <v>202</v>
      </c>
      <c r="K17" t="s">
        <v>203</v>
      </c>
      <c r="L17">
        <v>1368</v>
      </c>
      <c r="N17">
        <v>1011</v>
      </c>
      <c r="O17" t="s">
        <v>168</v>
      </c>
      <c r="P17" t="s">
        <v>168</v>
      </c>
      <c r="Q17">
        <v>1</v>
      </c>
      <c r="Y17">
        <v>7.08</v>
      </c>
      <c r="AA17">
        <v>0</v>
      </c>
      <c r="AB17">
        <v>206.01</v>
      </c>
      <c r="AC17">
        <v>14.4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7.08</v>
      </c>
      <c r="AV17">
        <v>0</v>
      </c>
      <c r="AW17">
        <v>2</v>
      </c>
      <c r="AX17">
        <v>28181187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28181188</v>
      </c>
      <c r="C18">
        <v>28181182</v>
      </c>
      <c r="D18">
        <v>25422380</v>
      </c>
      <c r="E18">
        <v>1</v>
      </c>
      <c r="F18">
        <v>1</v>
      </c>
      <c r="G18">
        <v>1</v>
      </c>
      <c r="H18">
        <v>2</v>
      </c>
      <c r="I18" t="s">
        <v>204</v>
      </c>
      <c r="J18" t="s">
        <v>205</v>
      </c>
      <c r="K18" t="s">
        <v>206</v>
      </c>
      <c r="L18">
        <v>1368</v>
      </c>
      <c r="N18">
        <v>1011</v>
      </c>
      <c r="O18" t="s">
        <v>168</v>
      </c>
      <c r="P18" t="s">
        <v>168</v>
      </c>
      <c r="Q18">
        <v>1</v>
      </c>
      <c r="Y18">
        <v>0.74</v>
      </c>
      <c r="AA18">
        <v>0</v>
      </c>
      <c r="AB18">
        <v>110</v>
      </c>
      <c r="AC18">
        <v>11.6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0.74</v>
      </c>
      <c r="AV18">
        <v>0</v>
      </c>
      <c r="AW18">
        <v>2</v>
      </c>
      <c r="AX18">
        <v>28181188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ROW(Source!A26)</f>
        <v>26</v>
      </c>
      <c r="B19">
        <v>28181189</v>
      </c>
      <c r="C19">
        <v>28181182</v>
      </c>
      <c r="D19">
        <v>25442884</v>
      </c>
      <c r="E19">
        <v>1</v>
      </c>
      <c r="F19">
        <v>1</v>
      </c>
      <c r="G19">
        <v>1</v>
      </c>
      <c r="H19">
        <v>3</v>
      </c>
      <c r="I19" t="s">
        <v>43</v>
      </c>
      <c r="J19" t="s">
        <v>46</v>
      </c>
      <c r="K19" t="s">
        <v>44</v>
      </c>
      <c r="L19">
        <v>1339</v>
      </c>
      <c r="N19">
        <v>1007</v>
      </c>
      <c r="O19" t="s">
        <v>45</v>
      </c>
      <c r="P19" t="s">
        <v>45</v>
      </c>
      <c r="Q19">
        <v>1</v>
      </c>
      <c r="Y19">
        <v>110</v>
      </c>
      <c r="AA19">
        <v>55.26</v>
      </c>
      <c r="AB19">
        <v>0</v>
      </c>
      <c r="AC19">
        <v>0</v>
      </c>
      <c r="AD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T19">
        <v>110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ROW(Source!A26)</f>
        <v>26</v>
      </c>
      <c r="B20">
        <v>28181190</v>
      </c>
      <c r="C20">
        <v>28181182</v>
      </c>
      <c r="D20">
        <v>25443135</v>
      </c>
      <c r="E20">
        <v>1</v>
      </c>
      <c r="F20">
        <v>1</v>
      </c>
      <c r="G20">
        <v>1</v>
      </c>
      <c r="H20">
        <v>3</v>
      </c>
      <c r="I20" t="s">
        <v>207</v>
      </c>
      <c r="J20" t="s">
        <v>208</v>
      </c>
      <c r="K20" t="s">
        <v>209</v>
      </c>
      <c r="L20">
        <v>1339</v>
      </c>
      <c r="N20">
        <v>1007</v>
      </c>
      <c r="O20" t="s">
        <v>45</v>
      </c>
      <c r="P20" t="s">
        <v>45</v>
      </c>
      <c r="Q20">
        <v>1</v>
      </c>
      <c r="Y20">
        <v>5</v>
      </c>
      <c r="AA20">
        <v>2.44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5</v>
      </c>
      <c r="AV20">
        <v>0</v>
      </c>
      <c r="AW20">
        <v>2</v>
      </c>
      <c r="AX20">
        <v>28181190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ROW(Source!A28)</f>
        <v>28</v>
      </c>
      <c r="B21">
        <v>28181193</v>
      </c>
      <c r="C21">
        <v>28181192</v>
      </c>
      <c r="D21">
        <v>25475844</v>
      </c>
      <c r="E21">
        <v>1</v>
      </c>
      <c r="F21">
        <v>1</v>
      </c>
      <c r="G21">
        <v>1</v>
      </c>
      <c r="H21">
        <v>1</v>
      </c>
      <c r="I21" t="s">
        <v>210</v>
      </c>
      <c r="K21" t="s">
        <v>211</v>
      </c>
      <c r="L21">
        <v>1369</v>
      </c>
      <c r="N21">
        <v>1013</v>
      </c>
      <c r="O21" t="s">
        <v>162</v>
      </c>
      <c r="P21" t="s">
        <v>162</v>
      </c>
      <c r="Q21">
        <v>1</v>
      </c>
      <c r="Y21">
        <v>24.19</v>
      </c>
      <c r="AA21">
        <v>0</v>
      </c>
      <c r="AB21">
        <v>0</v>
      </c>
      <c r="AC21">
        <v>0</v>
      </c>
      <c r="AD21">
        <v>8.09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24.19</v>
      </c>
      <c r="AV21">
        <v>1</v>
      </c>
      <c r="AW21">
        <v>2</v>
      </c>
      <c r="AX21">
        <v>28181193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ROW(Source!A28)</f>
        <v>28</v>
      </c>
      <c r="B22">
        <v>28181194</v>
      </c>
      <c r="C22">
        <v>28181192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25</v>
      </c>
      <c r="K22" t="s">
        <v>163</v>
      </c>
      <c r="L22">
        <v>608254</v>
      </c>
      <c r="N22">
        <v>1013</v>
      </c>
      <c r="O22" t="s">
        <v>164</v>
      </c>
      <c r="P22" t="s">
        <v>164</v>
      </c>
      <c r="Q22">
        <v>1</v>
      </c>
      <c r="Y22">
        <v>20.6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20.6</v>
      </c>
      <c r="AV22">
        <v>2</v>
      </c>
      <c r="AW22">
        <v>2</v>
      </c>
      <c r="AX22">
        <v>28181194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ROW(Source!A28)</f>
        <v>28</v>
      </c>
      <c r="B23">
        <v>28181195</v>
      </c>
      <c r="C23">
        <v>28181192</v>
      </c>
      <c r="D23">
        <v>25421764</v>
      </c>
      <c r="E23">
        <v>1</v>
      </c>
      <c r="F23">
        <v>1</v>
      </c>
      <c r="G23">
        <v>1</v>
      </c>
      <c r="H23">
        <v>2</v>
      </c>
      <c r="I23" t="s">
        <v>195</v>
      </c>
      <c r="J23" t="s">
        <v>196</v>
      </c>
      <c r="K23" t="s">
        <v>197</v>
      </c>
      <c r="L23">
        <v>1368</v>
      </c>
      <c r="N23">
        <v>1011</v>
      </c>
      <c r="O23" t="s">
        <v>168</v>
      </c>
      <c r="P23" t="s">
        <v>168</v>
      </c>
      <c r="Q23">
        <v>1</v>
      </c>
      <c r="Y23">
        <v>2.46</v>
      </c>
      <c r="AA23">
        <v>0</v>
      </c>
      <c r="AB23">
        <v>99.89</v>
      </c>
      <c r="AC23">
        <v>10.06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2.46</v>
      </c>
      <c r="AV23">
        <v>0</v>
      </c>
      <c r="AW23">
        <v>2</v>
      </c>
      <c r="AX23">
        <v>28181195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ROW(Source!A28)</f>
        <v>28</v>
      </c>
      <c r="B24">
        <v>28181196</v>
      </c>
      <c r="C24">
        <v>28181192</v>
      </c>
      <c r="D24">
        <v>25422055</v>
      </c>
      <c r="E24">
        <v>1</v>
      </c>
      <c r="F24">
        <v>1</v>
      </c>
      <c r="G24">
        <v>1</v>
      </c>
      <c r="H24">
        <v>2</v>
      </c>
      <c r="I24" t="s">
        <v>212</v>
      </c>
      <c r="J24" t="s">
        <v>213</v>
      </c>
      <c r="K24" t="s">
        <v>214</v>
      </c>
      <c r="L24">
        <v>1368</v>
      </c>
      <c r="N24">
        <v>1011</v>
      </c>
      <c r="O24" t="s">
        <v>168</v>
      </c>
      <c r="P24" t="s">
        <v>168</v>
      </c>
      <c r="Q24">
        <v>1</v>
      </c>
      <c r="Y24">
        <v>2.59</v>
      </c>
      <c r="AA24">
        <v>0</v>
      </c>
      <c r="AB24">
        <v>80.01</v>
      </c>
      <c r="AC24">
        <v>14.4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2.59</v>
      </c>
      <c r="AV24">
        <v>0</v>
      </c>
      <c r="AW24">
        <v>2</v>
      </c>
      <c r="AX24">
        <v>28181196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ROW(Source!A28)</f>
        <v>28</v>
      </c>
      <c r="B25">
        <v>28181197</v>
      </c>
      <c r="C25">
        <v>28181192</v>
      </c>
      <c r="D25">
        <v>25422296</v>
      </c>
      <c r="E25">
        <v>1</v>
      </c>
      <c r="F25">
        <v>1</v>
      </c>
      <c r="G25">
        <v>1</v>
      </c>
      <c r="H25">
        <v>2</v>
      </c>
      <c r="I25" t="s">
        <v>198</v>
      </c>
      <c r="J25" t="s">
        <v>199</v>
      </c>
      <c r="K25" t="s">
        <v>200</v>
      </c>
      <c r="L25">
        <v>1368</v>
      </c>
      <c r="N25">
        <v>1011</v>
      </c>
      <c r="O25" t="s">
        <v>168</v>
      </c>
      <c r="P25" t="s">
        <v>168</v>
      </c>
      <c r="Q25">
        <v>1</v>
      </c>
      <c r="Y25">
        <v>2.3</v>
      </c>
      <c r="AA25">
        <v>0</v>
      </c>
      <c r="AB25">
        <v>123</v>
      </c>
      <c r="AC25">
        <v>13.5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2.3</v>
      </c>
      <c r="AV25">
        <v>0</v>
      </c>
      <c r="AW25">
        <v>2</v>
      </c>
      <c r="AX25">
        <v>28181197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ROW(Source!A28)</f>
        <v>28</v>
      </c>
      <c r="B26">
        <v>28181198</v>
      </c>
      <c r="C26">
        <v>28181192</v>
      </c>
      <c r="D26">
        <v>25422326</v>
      </c>
      <c r="E26">
        <v>1</v>
      </c>
      <c r="F26">
        <v>1</v>
      </c>
      <c r="G26">
        <v>1</v>
      </c>
      <c r="H26">
        <v>2</v>
      </c>
      <c r="I26" t="s">
        <v>201</v>
      </c>
      <c r="J26" t="s">
        <v>202</v>
      </c>
      <c r="K26" t="s">
        <v>203</v>
      </c>
      <c r="L26">
        <v>1368</v>
      </c>
      <c r="N26">
        <v>1011</v>
      </c>
      <c r="O26" t="s">
        <v>168</v>
      </c>
      <c r="P26" t="s">
        <v>168</v>
      </c>
      <c r="Q26">
        <v>1</v>
      </c>
      <c r="Y26">
        <v>12.21</v>
      </c>
      <c r="AA26">
        <v>0</v>
      </c>
      <c r="AB26">
        <v>206.01</v>
      </c>
      <c r="AC26">
        <v>14.4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12.21</v>
      </c>
      <c r="AV26">
        <v>0</v>
      </c>
      <c r="AW26">
        <v>2</v>
      </c>
      <c r="AX26">
        <v>28181198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ROW(Source!A28)</f>
        <v>28</v>
      </c>
      <c r="B27">
        <v>28181199</v>
      </c>
      <c r="C27">
        <v>28181192</v>
      </c>
      <c r="D27">
        <v>25422380</v>
      </c>
      <c r="E27">
        <v>1</v>
      </c>
      <c r="F27">
        <v>1</v>
      </c>
      <c r="G27">
        <v>1</v>
      </c>
      <c r="H27">
        <v>2</v>
      </c>
      <c r="I27" t="s">
        <v>204</v>
      </c>
      <c r="J27" t="s">
        <v>205</v>
      </c>
      <c r="K27" t="s">
        <v>206</v>
      </c>
      <c r="L27">
        <v>1368</v>
      </c>
      <c r="N27">
        <v>1011</v>
      </c>
      <c r="O27" t="s">
        <v>168</v>
      </c>
      <c r="P27" t="s">
        <v>168</v>
      </c>
      <c r="Q27">
        <v>1</v>
      </c>
      <c r="Y27">
        <v>1.04</v>
      </c>
      <c r="AA27">
        <v>0</v>
      </c>
      <c r="AB27">
        <v>110</v>
      </c>
      <c r="AC27">
        <v>11.6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1.04</v>
      </c>
      <c r="AV27">
        <v>0</v>
      </c>
      <c r="AW27">
        <v>2</v>
      </c>
      <c r="AX27">
        <v>28181199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ROW(Source!A28)</f>
        <v>28</v>
      </c>
      <c r="B28">
        <v>28181200</v>
      </c>
      <c r="C28">
        <v>28181192</v>
      </c>
      <c r="D28">
        <v>25442981</v>
      </c>
      <c r="E28">
        <v>1</v>
      </c>
      <c r="F28">
        <v>1</v>
      </c>
      <c r="G28">
        <v>1</v>
      </c>
      <c r="H28">
        <v>3</v>
      </c>
      <c r="I28" t="s">
        <v>52</v>
      </c>
      <c r="J28" t="s">
        <v>54</v>
      </c>
      <c r="K28" t="s">
        <v>53</v>
      </c>
      <c r="L28">
        <v>1339</v>
      </c>
      <c r="N28">
        <v>1007</v>
      </c>
      <c r="O28" t="s">
        <v>45</v>
      </c>
      <c r="P28" t="s">
        <v>45</v>
      </c>
      <c r="Q28">
        <v>1</v>
      </c>
      <c r="Y28">
        <v>126</v>
      </c>
      <c r="AA28">
        <v>129.1</v>
      </c>
      <c r="AB28">
        <v>0</v>
      </c>
      <c r="AC28">
        <v>0</v>
      </c>
      <c r="AD28">
        <v>0</v>
      </c>
      <c r="AN28">
        <v>1</v>
      </c>
      <c r="AO28">
        <v>0</v>
      </c>
      <c r="AP28">
        <v>0</v>
      </c>
      <c r="AQ28">
        <v>0</v>
      </c>
      <c r="AR28">
        <v>0</v>
      </c>
      <c r="AT28">
        <v>126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ROW(Source!A28)</f>
        <v>28</v>
      </c>
      <c r="B29">
        <v>28181201</v>
      </c>
      <c r="C29">
        <v>28181192</v>
      </c>
      <c r="D29">
        <v>25443135</v>
      </c>
      <c r="E29">
        <v>1</v>
      </c>
      <c r="F29">
        <v>1</v>
      </c>
      <c r="G29">
        <v>1</v>
      </c>
      <c r="H29">
        <v>3</v>
      </c>
      <c r="I29" t="s">
        <v>207</v>
      </c>
      <c r="J29" t="s">
        <v>208</v>
      </c>
      <c r="K29" t="s">
        <v>209</v>
      </c>
      <c r="L29">
        <v>1339</v>
      </c>
      <c r="N29">
        <v>1007</v>
      </c>
      <c r="O29" t="s">
        <v>45</v>
      </c>
      <c r="P29" t="s">
        <v>45</v>
      </c>
      <c r="Q29">
        <v>1</v>
      </c>
      <c r="Y29">
        <v>7</v>
      </c>
      <c r="AA29">
        <v>2.44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7</v>
      </c>
      <c r="AV29">
        <v>0</v>
      </c>
      <c r="AW29">
        <v>2</v>
      </c>
      <c r="AX29">
        <v>28181201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ROW(Source!A30)</f>
        <v>30</v>
      </c>
      <c r="B30">
        <v>28181204</v>
      </c>
      <c r="C30">
        <v>28181203</v>
      </c>
      <c r="D30">
        <v>25476969</v>
      </c>
      <c r="E30">
        <v>1</v>
      </c>
      <c r="F30">
        <v>1</v>
      </c>
      <c r="G30">
        <v>1</v>
      </c>
      <c r="H30">
        <v>1</v>
      </c>
      <c r="I30" t="s">
        <v>215</v>
      </c>
      <c r="K30" t="s">
        <v>216</v>
      </c>
      <c r="L30">
        <v>1369</v>
      </c>
      <c r="N30">
        <v>1013</v>
      </c>
      <c r="O30" t="s">
        <v>162</v>
      </c>
      <c r="P30" t="s">
        <v>162</v>
      </c>
      <c r="Q30">
        <v>1</v>
      </c>
      <c r="Y30">
        <v>38.3</v>
      </c>
      <c r="AA30">
        <v>0</v>
      </c>
      <c r="AB30">
        <v>0</v>
      </c>
      <c r="AC30">
        <v>0</v>
      </c>
      <c r="AD30">
        <v>9.62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38.3</v>
      </c>
      <c r="AV30">
        <v>1</v>
      </c>
      <c r="AW30">
        <v>2</v>
      </c>
      <c r="AX30">
        <v>28181204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ROW(Source!A30)</f>
        <v>30</v>
      </c>
      <c r="B31">
        <v>28181205</v>
      </c>
      <c r="C31">
        <v>28181203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25</v>
      </c>
      <c r="K31" t="s">
        <v>163</v>
      </c>
      <c r="L31">
        <v>608254</v>
      </c>
      <c r="N31">
        <v>1013</v>
      </c>
      <c r="O31" t="s">
        <v>164</v>
      </c>
      <c r="P31" t="s">
        <v>164</v>
      </c>
      <c r="Q31">
        <v>1</v>
      </c>
      <c r="Y31">
        <v>19.08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19.08</v>
      </c>
      <c r="AV31">
        <v>2</v>
      </c>
      <c r="AW31">
        <v>2</v>
      </c>
      <c r="AX31">
        <v>28181205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ROW(Source!A30)</f>
        <v>30</v>
      </c>
      <c r="B32">
        <v>28181206</v>
      </c>
      <c r="C32">
        <v>28181203</v>
      </c>
      <c r="D32">
        <v>25421695</v>
      </c>
      <c r="E32">
        <v>1</v>
      </c>
      <c r="F32">
        <v>1</v>
      </c>
      <c r="G32">
        <v>1</v>
      </c>
      <c r="H32">
        <v>2</v>
      </c>
      <c r="I32" t="s">
        <v>217</v>
      </c>
      <c r="J32" t="s">
        <v>218</v>
      </c>
      <c r="K32" t="s">
        <v>219</v>
      </c>
      <c r="L32">
        <v>1368</v>
      </c>
      <c r="N32">
        <v>1011</v>
      </c>
      <c r="O32" t="s">
        <v>168</v>
      </c>
      <c r="P32" t="s">
        <v>168</v>
      </c>
      <c r="Q32">
        <v>1</v>
      </c>
      <c r="Y32">
        <v>0.03</v>
      </c>
      <c r="AA32">
        <v>0</v>
      </c>
      <c r="AB32">
        <v>112</v>
      </c>
      <c r="AC32">
        <v>13.5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0.03</v>
      </c>
      <c r="AV32">
        <v>0</v>
      </c>
      <c r="AW32">
        <v>2</v>
      </c>
      <c r="AX32">
        <v>28181206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ROW(Source!A30)</f>
        <v>30</v>
      </c>
      <c r="B33">
        <v>28181207</v>
      </c>
      <c r="C33">
        <v>28181203</v>
      </c>
      <c r="D33">
        <v>25422302</v>
      </c>
      <c r="E33">
        <v>1</v>
      </c>
      <c r="F33">
        <v>1</v>
      </c>
      <c r="G33">
        <v>1</v>
      </c>
      <c r="H33">
        <v>2</v>
      </c>
      <c r="I33" t="s">
        <v>220</v>
      </c>
      <c r="J33" t="s">
        <v>221</v>
      </c>
      <c r="K33" t="s">
        <v>222</v>
      </c>
      <c r="L33">
        <v>1368</v>
      </c>
      <c r="N33">
        <v>1011</v>
      </c>
      <c r="O33" t="s">
        <v>168</v>
      </c>
      <c r="P33" t="s">
        <v>168</v>
      </c>
      <c r="Q33">
        <v>1</v>
      </c>
      <c r="Y33">
        <v>1.4</v>
      </c>
      <c r="AA33">
        <v>0</v>
      </c>
      <c r="AB33">
        <v>17.2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1.4</v>
      </c>
      <c r="AV33">
        <v>0</v>
      </c>
      <c r="AW33">
        <v>2</v>
      </c>
      <c r="AX33">
        <v>28181207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ROW(Source!A30)</f>
        <v>30</v>
      </c>
      <c r="B34">
        <v>28181208</v>
      </c>
      <c r="C34">
        <v>28181203</v>
      </c>
      <c r="D34">
        <v>25422321</v>
      </c>
      <c r="E34">
        <v>1</v>
      </c>
      <c r="F34">
        <v>1</v>
      </c>
      <c r="G34">
        <v>1</v>
      </c>
      <c r="H34">
        <v>2</v>
      </c>
      <c r="I34" t="s">
        <v>169</v>
      </c>
      <c r="J34" t="s">
        <v>170</v>
      </c>
      <c r="K34" t="s">
        <v>171</v>
      </c>
      <c r="L34">
        <v>1368</v>
      </c>
      <c r="N34">
        <v>1011</v>
      </c>
      <c r="O34" t="s">
        <v>168</v>
      </c>
      <c r="P34" t="s">
        <v>168</v>
      </c>
      <c r="Q34">
        <v>1</v>
      </c>
      <c r="Y34">
        <v>3.96</v>
      </c>
      <c r="AA34">
        <v>0</v>
      </c>
      <c r="AB34">
        <v>75</v>
      </c>
      <c r="AC34">
        <v>11.6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3.96</v>
      </c>
      <c r="AV34">
        <v>0</v>
      </c>
      <c r="AW34">
        <v>2</v>
      </c>
      <c r="AX34">
        <v>28181208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ROW(Source!A30)</f>
        <v>30</v>
      </c>
      <c r="B35">
        <v>28181209</v>
      </c>
      <c r="C35">
        <v>28181203</v>
      </c>
      <c r="D35">
        <v>25422322</v>
      </c>
      <c r="E35">
        <v>1</v>
      </c>
      <c r="F35">
        <v>1</v>
      </c>
      <c r="G35">
        <v>1</v>
      </c>
      <c r="H35">
        <v>2</v>
      </c>
      <c r="I35" t="s">
        <v>223</v>
      </c>
      <c r="J35" t="s">
        <v>224</v>
      </c>
      <c r="K35" t="s">
        <v>225</v>
      </c>
      <c r="L35">
        <v>1368</v>
      </c>
      <c r="N35">
        <v>1011</v>
      </c>
      <c r="O35" t="s">
        <v>168</v>
      </c>
      <c r="P35" t="s">
        <v>168</v>
      </c>
      <c r="Q35">
        <v>1</v>
      </c>
      <c r="Y35">
        <v>11.51</v>
      </c>
      <c r="AA35">
        <v>0</v>
      </c>
      <c r="AB35">
        <v>121</v>
      </c>
      <c r="AC35">
        <v>14.4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11.51</v>
      </c>
      <c r="AV35">
        <v>0</v>
      </c>
      <c r="AW35">
        <v>2</v>
      </c>
      <c r="AX35">
        <v>28181209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ROW(Source!A30)</f>
        <v>30</v>
      </c>
      <c r="B36">
        <v>28181210</v>
      </c>
      <c r="C36">
        <v>28181203</v>
      </c>
      <c r="D36">
        <v>25422380</v>
      </c>
      <c r="E36">
        <v>1</v>
      </c>
      <c r="F36">
        <v>1</v>
      </c>
      <c r="G36">
        <v>1</v>
      </c>
      <c r="H36">
        <v>2</v>
      </c>
      <c r="I36" t="s">
        <v>204</v>
      </c>
      <c r="J36" t="s">
        <v>205</v>
      </c>
      <c r="K36" t="s">
        <v>206</v>
      </c>
      <c r="L36">
        <v>1368</v>
      </c>
      <c r="N36">
        <v>1011</v>
      </c>
      <c r="O36" t="s">
        <v>168</v>
      </c>
      <c r="P36" t="s">
        <v>168</v>
      </c>
      <c r="Q36">
        <v>1</v>
      </c>
      <c r="Y36">
        <v>0.39</v>
      </c>
      <c r="AA36">
        <v>0</v>
      </c>
      <c r="AB36">
        <v>110</v>
      </c>
      <c r="AC36">
        <v>11.6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0.39</v>
      </c>
      <c r="AV36">
        <v>0</v>
      </c>
      <c r="AW36">
        <v>2</v>
      </c>
      <c r="AX36">
        <v>28181210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ROW(Source!A30)</f>
        <v>30</v>
      </c>
      <c r="B37">
        <v>28181211</v>
      </c>
      <c r="C37">
        <v>28181203</v>
      </c>
      <c r="D37">
        <v>25422402</v>
      </c>
      <c r="E37">
        <v>1</v>
      </c>
      <c r="F37">
        <v>1</v>
      </c>
      <c r="G37">
        <v>1</v>
      </c>
      <c r="H37">
        <v>2</v>
      </c>
      <c r="I37" t="s">
        <v>226</v>
      </c>
      <c r="J37" t="s">
        <v>227</v>
      </c>
      <c r="K37" t="s">
        <v>228</v>
      </c>
      <c r="L37">
        <v>1368</v>
      </c>
      <c r="N37">
        <v>1011</v>
      </c>
      <c r="O37" t="s">
        <v>168</v>
      </c>
      <c r="P37" t="s">
        <v>168</v>
      </c>
      <c r="Q37">
        <v>1</v>
      </c>
      <c r="Y37">
        <v>3.19</v>
      </c>
      <c r="AA37">
        <v>0</v>
      </c>
      <c r="AB37">
        <v>195.2</v>
      </c>
      <c r="AC37">
        <v>14.4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3.19</v>
      </c>
      <c r="AV37">
        <v>0</v>
      </c>
      <c r="AW37">
        <v>2</v>
      </c>
      <c r="AX37">
        <v>28181211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ROW(Source!A30)</f>
        <v>30</v>
      </c>
      <c r="B38">
        <v>28181212</v>
      </c>
      <c r="C38">
        <v>28181203</v>
      </c>
      <c r="D38">
        <v>25423431</v>
      </c>
      <c r="E38">
        <v>1</v>
      </c>
      <c r="F38">
        <v>1</v>
      </c>
      <c r="G38">
        <v>1</v>
      </c>
      <c r="H38">
        <v>2</v>
      </c>
      <c r="I38" t="s">
        <v>178</v>
      </c>
      <c r="J38" t="s">
        <v>179</v>
      </c>
      <c r="K38" t="s">
        <v>180</v>
      </c>
      <c r="L38">
        <v>1368</v>
      </c>
      <c r="N38">
        <v>1011</v>
      </c>
      <c r="O38" t="s">
        <v>168</v>
      </c>
      <c r="P38" t="s">
        <v>168</v>
      </c>
      <c r="Q38">
        <v>1</v>
      </c>
      <c r="Y38">
        <v>0.04</v>
      </c>
      <c r="AA38">
        <v>0</v>
      </c>
      <c r="AB38">
        <v>87.17</v>
      </c>
      <c r="AC38">
        <v>11.6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0.04</v>
      </c>
      <c r="AV38">
        <v>0</v>
      </c>
      <c r="AW38">
        <v>2</v>
      </c>
      <c r="AX38">
        <v>28181212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ROW(Source!A30)</f>
        <v>30</v>
      </c>
      <c r="B39">
        <v>28181213</v>
      </c>
      <c r="C39">
        <v>28181203</v>
      </c>
      <c r="D39">
        <v>25424590</v>
      </c>
      <c r="E39">
        <v>1</v>
      </c>
      <c r="F39">
        <v>1</v>
      </c>
      <c r="G39">
        <v>1</v>
      </c>
      <c r="H39">
        <v>3</v>
      </c>
      <c r="I39" t="s">
        <v>229</v>
      </c>
      <c r="J39" t="s">
        <v>230</v>
      </c>
      <c r="K39" t="s">
        <v>231</v>
      </c>
      <c r="L39">
        <v>1348</v>
      </c>
      <c r="N39">
        <v>1009</v>
      </c>
      <c r="O39" t="s">
        <v>74</v>
      </c>
      <c r="P39" t="s">
        <v>74</v>
      </c>
      <c r="Q39">
        <v>1000</v>
      </c>
      <c r="Y39">
        <v>0.0062</v>
      </c>
      <c r="AA39">
        <v>5989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0.0062</v>
      </c>
      <c r="AV39">
        <v>0</v>
      </c>
      <c r="AW39">
        <v>2</v>
      </c>
      <c r="AX39">
        <v>28181213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ROW(Source!A30)</f>
        <v>30</v>
      </c>
      <c r="B40">
        <v>28181214</v>
      </c>
      <c r="C40">
        <v>28181203</v>
      </c>
      <c r="D40">
        <v>25425153</v>
      </c>
      <c r="E40">
        <v>1</v>
      </c>
      <c r="F40">
        <v>1</v>
      </c>
      <c r="G40">
        <v>1</v>
      </c>
      <c r="H40">
        <v>3</v>
      </c>
      <c r="I40" t="s">
        <v>181</v>
      </c>
      <c r="J40" t="s">
        <v>182</v>
      </c>
      <c r="K40" t="s">
        <v>183</v>
      </c>
      <c r="L40">
        <v>1348</v>
      </c>
      <c r="N40">
        <v>1009</v>
      </c>
      <c r="O40" t="s">
        <v>74</v>
      </c>
      <c r="P40" t="s">
        <v>74</v>
      </c>
      <c r="Q40">
        <v>1000</v>
      </c>
      <c r="Y40">
        <v>0.0108</v>
      </c>
      <c r="AA40">
        <v>1690.01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0.0108</v>
      </c>
      <c r="AV40">
        <v>0</v>
      </c>
      <c r="AW40">
        <v>2</v>
      </c>
      <c r="AX40">
        <v>28181214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ROW(Source!A30)</f>
        <v>30</v>
      </c>
      <c r="B41">
        <v>28181215</v>
      </c>
      <c r="C41">
        <v>28181203</v>
      </c>
      <c r="D41">
        <v>25427244</v>
      </c>
      <c r="E41">
        <v>1</v>
      </c>
      <c r="F41">
        <v>1</v>
      </c>
      <c r="G41">
        <v>1</v>
      </c>
      <c r="H41">
        <v>3</v>
      </c>
      <c r="I41" t="s">
        <v>232</v>
      </c>
      <c r="J41" t="s">
        <v>233</v>
      </c>
      <c r="K41" t="s">
        <v>234</v>
      </c>
      <c r="L41">
        <v>1339</v>
      </c>
      <c r="N41">
        <v>1007</v>
      </c>
      <c r="O41" t="s">
        <v>45</v>
      </c>
      <c r="P41" t="s">
        <v>45</v>
      </c>
      <c r="Q41">
        <v>1</v>
      </c>
      <c r="Y41">
        <v>0.15</v>
      </c>
      <c r="AA41">
        <v>1287.01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0.15</v>
      </c>
      <c r="AV41">
        <v>0</v>
      </c>
      <c r="AW41">
        <v>2</v>
      </c>
      <c r="AX41">
        <v>28181215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ROW(Source!A30)</f>
        <v>30</v>
      </c>
      <c r="B42">
        <v>28181216</v>
      </c>
      <c r="C42">
        <v>28181203</v>
      </c>
      <c r="D42">
        <v>25443063</v>
      </c>
      <c r="E42">
        <v>1</v>
      </c>
      <c r="F42">
        <v>1</v>
      </c>
      <c r="G42">
        <v>1</v>
      </c>
      <c r="H42">
        <v>3</v>
      </c>
      <c r="I42" t="s">
        <v>235</v>
      </c>
      <c r="J42" t="s">
        <v>236</v>
      </c>
      <c r="K42" t="s">
        <v>237</v>
      </c>
      <c r="L42">
        <v>1348</v>
      </c>
      <c r="N42">
        <v>1009</v>
      </c>
      <c r="O42" t="s">
        <v>74</v>
      </c>
      <c r="P42" t="s">
        <v>74</v>
      </c>
      <c r="Q42">
        <v>1000</v>
      </c>
      <c r="Y42">
        <v>96.6</v>
      </c>
      <c r="AA42">
        <v>535.5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96.6</v>
      </c>
      <c r="AV42">
        <v>0</v>
      </c>
      <c r="AW42">
        <v>2</v>
      </c>
      <c r="AX42">
        <v>28181216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ROW(Source!A31)</f>
        <v>31</v>
      </c>
      <c r="B43">
        <v>28181218</v>
      </c>
      <c r="C43">
        <v>28181217</v>
      </c>
      <c r="D43">
        <v>25476969</v>
      </c>
      <c r="E43">
        <v>1</v>
      </c>
      <c r="F43">
        <v>1</v>
      </c>
      <c r="G43">
        <v>1</v>
      </c>
      <c r="H43">
        <v>1</v>
      </c>
      <c r="I43" t="s">
        <v>215</v>
      </c>
      <c r="K43" t="s">
        <v>216</v>
      </c>
      <c r="L43">
        <v>1369</v>
      </c>
      <c r="N43">
        <v>1013</v>
      </c>
      <c r="O43" t="s">
        <v>162</v>
      </c>
      <c r="P43" t="s">
        <v>162</v>
      </c>
      <c r="Q43">
        <v>1</v>
      </c>
      <c r="Y43">
        <v>0.18</v>
      </c>
      <c r="AA43">
        <v>0</v>
      </c>
      <c r="AB43">
        <v>0</v>
      </c>
      <c r="AC43">
        <v>0</v>
      </c>
      <c r="AD43">
        <v>9.62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0.09</v>
      </c>
      <c r="AU43" t="s">
        <v>64</v>
      </c>
      <c r="AV43">
        <v>1</v>
      </c>
      <c r="AW43">
        <v>2</v>
      </c>
      <c r="AX43">
        <v>28181218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ROW(Source!A31)</f>
        <v>31</v>
      </c>
      <c r="B44">
        <v>28181219</v>
      </c>
      <c r="C44">
        <v>28181217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25</v>
      </c>
      <c r="K44" t="s">
        <v>163</v>
      </c>
      <c r="L44">
        <v>608254</v>
      </c>
      <c r="N44">
        <v>1013</v>
      </c>
      <c r="O44" t="s">
        <v>164</v>
      </c>
      <c r="P44" t="s">
        <v>164</v>
      </c>
      <c r="Q44">
        <v>1</v>
      </c>
      <c r="Y44">
        <v>0</v>
      </c>
      <c r="AA44">
        <v>0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</v>
      </c>
      <c r="AU44" t="s">
        <v>64</v>
      </c>
      <c r="AV44">
        <v>2</v>
      </c>
      <c r="AW44">
        <v>2</v>
      </c>
      <c r="AX44">
        <v>28181219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ROW(Source!A31)</f>
        <v>31</v>
      </c>
      <c r="B45">
        <v>28181220</v>
      </c>
      <c r="C45">
        <v>28181217</v>
      </c>
      <c r="D45">
        <v>25422302</v>
      </c>
      <c r="E45">
        <v>1</v>
      </c>
      <c r="F45">
        <v>1</v>
      </c>
      <c r="G45">
        <v>1</v>
      </c>
      <c r="H45">
        <v>2</v>
      </c>
      <c r="I45" t="s">
        <v>220</v>
      </c>
      <c r="J45" t="s">
        <v>221</v>
      </c>
      <c r="K45" t="s">
        <v>222</v>
      </c>
      <c r="L45">
        <v>1368</v>
      </c>
      <c r="N45">
        <v>1011</v>
      </c>
      <c r="O45" t="s">
        <v>168</v>
      </c>
      <c r="P45" t="s">
        <v>168</v>
      </c>
      <c r="Q45">
        <v>1</v>
      </c>
      <c r="Y45">
        <v>0.36</v>
      </c>
      <c r="AA45">
        <v>0</v>
      </c>
      <c r="AB45">
        <v>17.2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0.18</v>
      </c>
      <c r="AU45" t="s">
        <v>64</v>
      </c>
      <c r="AV45">
        <v>0</v>
      </c>
      <c r="AW45">
        <v>2</v>
      </c>
      <c r="AX45">
        <v>28181220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ROW(Source!A31)</f>
        <v>31</v>
      </c>
      <c r="B46">
        <v>28181221</v>
      </c>
      <c r="C46">
        <v>28181217</v>
      </c>
      <c r="D46">
        <v>25425153</v>
      </c>
      <c r="E46">
        <v>1</v>
      </c>
      <c r="F46">
        <v>1</v>
      </c>
      <c r="G46">
        <v>1</v>
      </c>
      <c r="H46">
        <v>3</v>
      </c>
      <c r="I46" t="s">
        <v>181</v>
      </c>
      <c r="J46" t="s">
        <v>182</v>
      </c>
      <c r="K46" t="s">
        <v>183</v>
      </c>
      <c r="L46">
        <v>1348</v>
      </c>
      <c r="N46">
        <v>1009</v>
      </c>
      <c r="O46" t="s">
        <v>74</v>
      </c>
      <c r="P46" t="s">
        <v>74</v>
      </c>
      <c r="Q46">
        <v>1000</v>
      </c>
      <c r="Y46">
        <v>0.0028</v>
      </c>
      <c r="AA46">
        <v>1690.01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0.0014</v>
      </c>
      <c r="AU46" t="s">
        <v>64</v>
      </c>
      <c r="AV46">
        <v>0</v>
      </c>
      <c r="AW46">
        <v>2</v>
      </c>
      <c r="AX46">
        <v>28181221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ROW(Source!A31)</f>
        <v>31</v>
      </c>
      <c r="B47">
        <v>28181222</v>
      </c>
      <c r="C47">
        <v>28181217</v>
      </c>
      <c r="D47">
        <v>25443063</v>
      </c>
      <c r="E47">
        <v>1</v>
      </c>
      <c r="F47">
        <v>1</v>
      </c>
      <c r="G47">
        <v>1</v>
      </c>
      <c r="H47">
        <v>3</v>
      </c>
      <c r="I47" t="s">
        <v>235</v>
      </c>
      <c r="J47" t="s">
        <v>236</v>
      </c>
      <c r="K47" t="s">
        <v>237</v>
      </c>
      <c r="L47">
        <v>1348</v>
      </c>
      <c r="N47">
        <v>1009</v>
      </c>
      <c r="O47" t="s">
        <v>74</v>
      </c>
      <c r="P47" t="s">
        <v>74</v>
      </c>
      <c r="Q47">
        <v>1000</v>
      </c>
      <c r="Y47">
        <v>24.2</v>
      </c>
      <c r="AA47">
        <v>535.5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12.1</v>
      </c>
      <c r="AU47" t="s">
        <v>64</v>
      </c>
      <c r="AV47">
        <v>0</v>
      </c>
      <c r="AW47">
        <v>2</v>
      </c>
      <c r="AX47">
        <v>28181222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ROW(Source!A32)</f>
        <v>32</v>
      </c>
      <c r="B48">
        <v>28181269</v>
      </c>
      <c r="C48">
        <v>28181268</v>
      </c>
      <c r="D48">
        <v>25472986</v>
      </c>
      <c r="E48">
        <v>1</v>
      </c>
      <c r="F48">
        <v>1</v>
      </c>
      <c r="G48">
        <v>1</v>
      </c>
      <c r="H48">
        <v>1</v>
      </c>
      <c r="I48" t="s">
        <v>238</v>
      </c>
      <c r="K48" t="s">
        <v>239</v>
      </c>
      <c r="L48">
        <v>1369</v>
      </c>
      <c r="N48">
        <v>1013</v>
      </c>
      <c r="O48" t="s">
        <v>162</v>
      </c>
      <c r="P48" t="s">
        <v>162</v>
      </c>
      <c r="Q48">
        <v>1</v>
      </c>
      <c r="Y48">
        <v>364.8</v>
      </c>
      <c r="AA48">
        <v>0</v>
      </c>
      <c r="AB48">
        <v>0</v>
      </c>
      <c r="AC48">
        <v>0</v>
      </c>
      <c r="AD48">
        <v>8.53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364.8</v>
      </c>
      <c r="AV48">
        <v>1</v>
      </c>
      <c r="AW48">
        <v>2</v>
      </c>
      <c r="AX48">
        <v>28181269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ROW(Source!A32)</f>
        <v>32</v>
      </c>
      <c r="B49">
        <v>28181270</v>
      </c>
      <c r="C49">
        <v>28181268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25</v>
      </c>
      <c r="K49" t="s">
        <v>163</v>
      </c>
      <c r="L49">
        <v>608254</v>
      </c>
      <c r="N49">
        <v>1013</v>
      </c>
      <c r="O49" t="s">
        <v>164</v>
      </c>
      <c r="P49" t="s">
        <v>164</v>
      </c>
      <c r="Q49">
        <v>1</v>
      </c>
      <c r="Y49">
        <v>14.28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14.28</v>
      </c>
      <c r="AV49">
        <v>2</v>
      </c>
      <c r="AW49">
        <v>2</v>
      </c>
      <c r="AX49">
        <v>28181270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ROW(Source!A32)</f>
        <v>32</v>
      </c>
      <c r="B50">
        <v>28181271</v>
      </c>
      <c r="C50">
        <v>28181268</v>
      </c>
      <c r="D50">
        <v>25421695</v>
      </c>
      <c r="E50">
        <v>1</v>
      </c>
      <c r="F50">
        <v>1</v>
      </c>
      <c r="G50">
        <v>1</v>
      </c>
      <c r="H50">
        <v>2</v>
      </c>
      <c r="I50" t="s">
        <v>217</v>
      </c>
      <c r="J50" t="s">
        <v>218</v>
      </c>
      <c r="K50" t="s">
        <v>219</v>
      </c>
      <c r="L50">
        <v>1368</v>
      </c>
      <c r="N50">
        <v>1011</v>
      </c>
      <c r="O50" t="s">
        <v>168</v>
      </c>
      <c r="P50" t="s">
        <v>168</v>
      </c>
      <c r="Q50">
        <v>1</v>
      </c>
      <c r="Y50">
        <v>1.52</v>
      </c>
      <c r="AA50">
        <v>0</v>
      </c>
      <c r="AB50">
        <v>112</v>
      </c>
      <c r="AC50">
        <v>13.5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1.52</v>
      </c>
      <c r="AV50">
        <v>0</v>
      </c>
      <c r="AW50">
        <v>2</v>
      </c>
      <c r="AX50">
        <v>28181271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ROW(Source!A32)</f>
        <v>32</v>
      </c>
      <c r="B51">
        <v>28181272</v>
      </c>
      <c r="C51">
        <v>28181268</v>
      </c>
      <c r="D51">
        <v>25422668</v>
      </c>
      <c r="E51">
        <v>1</v>
      </c>
      <c r="F51">
        <v>1</v>
      </c>
      <c r="G51">
        <v>1</v>
      </c>
      <c r="H51">
        <v>2</v>
      </c>
      <c r="I51" t="s">
        <v>240</v>
      </c>
      <c r="J51" t="s">
        <v>241</v>
      </c>
      <c r="K51" t="s">
        <v>242</v>
      </c>
      <c r="L51">
        <v>1368</v>
      </c>
      <c r="N51">
        <v>1011</v>
      </c>
      <c r="O51" t="s">
        <v>168</v>
      </c>
      <c r="P51" t="s">
        <v>168</v>
      </c>
      <c r="Q51">
        <v>1</v>
      </c>
      <c r="Y51">
        <v>12.76</v>
      </c>
      <c r="AA51">
        <v>0</v>
      </c>
      <c r="AB51">
        <v>187.68</v>
      </c>
      <c r="AC51">
        <v>16.46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12.76</v>
      </c>
      <c r="AV51">
        <v>0</v>
      </c>
      <c r="AW51">
        <v>2</v>
      </c>
      <c r="AX51">
        <v>28181272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ROW(Source!A32)</f>
        <v>32</v>
      </c>
      <c r="B52">
        <v>28181273</v>
      </c>
      <c r="C52">
        <v>28181268</v>
      </c>
      <c r="D52">
        <v>25423431</v>
      </c>
      <c r="E52">
        <v>1</v>
      </c>
      <c r="F52">
        <v>1</v>
      </c>
      <c r="G52">
        <v>1</v>
      </c>
      <c r="H52">
        <v>2</v>
      </c>
      <c r="I52" t="s">
        <v>178</v>
      </c>
      <c r="J52" t="s">
        <v>179</v>
      </c>
      <c r="K52" t="s">
        <v>180</v>
      </c>
      <c r="L52">
        <v>1368</v>
      </c>
      <c r="N52">
        <v>1011</v>
      </c>
      <c r="O52" t="s">
        <v>168</v>
      </c>
      <c r="P52" t="s">
        <v>168</v>
      </c>
      <c r="Q52">
        <v>1</v>
      </c>
      <c r="Y52">
        <v>2.01</v>
      </c>
      <c r="AA52">
        <v>0</v>
      </c>
      <c r="AB52">
        <v>87.17</v>
      </c>
      <c r="AC52">
        <v>11.6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2.01</v>
      </c>
      <c r="AV52">
        <v>0</v>
      </c>
      <c r="AW52">
        <v>2</v>
      </c>
      <c r="AX52">
        <v>28181273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ROW(Source!A32)</f>
        <v>32</v>
      </c>
      <c r="B53">
        <v>28181274</v>
      </c>
      <c r="C53">
        <v>28181268</v>
      </c>
      <c r="D53">
        <v>25424293</v>
      </c>
      <c r="E53">
        <v>1</v>
      </c>
      <c r="F53">
        <v>1</v>
      </c>
      <c r="G53">
        <v>1</v>
      </c>
      <c r="H53">
        <v>3</v>
      </c>
      <c r="I53" t="s">
        <v>243</v>
      </c>
      <c r="J53" t="s">
        <v>244</v>
      </c>
      <c r="K53" t="s">
        <v>245</v>
      </c>
      <c r="L53">
        <v>1348</v>
      </c>
      <c r="N53">
        <v>1009</v>
      </c>
      <c r="O53" t="s">
        <v>74</v>
      </c>
      <c r="P53" t="s">
        <v>74</v>
      </c>
      <c r="Q53">
        <v>1000</v>
      </c>
      <c r="Y53">
        <v>0.048</v>
      </c>
      <c r="AA53">
        <v>19400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0.048</v>
      </c>
      <c r="AV53">
        <v>0</v>
      </c>
      <c r="AW53">
        <v>2</v>
      </c>
      <c r="AX53">
        <v>28181274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ROW(Source!A32)</f>
        <v>32</v>
      </c>
      <c r="B54">
        <v>28181275</v>
      </c>
      <c r="C54">
        <v>28181268</v>
      </c>
      <c r="D54">
        <v>25424388</v>
      </c>
      <c r="E54">
        <v>1</v>
      </c>
      <c r="F54">
        <v>1</v>
      </c>
      <c r="G54">
        <v>1</v>
      </c>
      <c r="H54">
        <v>3</v>
      </c>
      <c r="I54" t="s">
        <v>246</v>
      </c>
      <c r="J54" t="s">
        <v>247</v>
      </c>
      <c r="K54" t="s">
        <v>248</v>
      </c>
      <c r="L54">
        <v>1348</v>
      </c>
      <c r="N54">
        <v>1009</v>
      </c>
      <c r="O54" t="s">
        <v>74</v>
      </c>
      <c r="P54" t="s">
        <v>74</v>
      </c>
      <c r="Q54">
        <v>1000</v>
      </c>
      <c r="Y54">
        <v>0.01935</v>
      </c>
      <c r="AA54">
        <v>35003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0.01935</v>
      </c>
      <c r="AV54">
        <v>0</v>
      </c>
      <c r="AW54">
        <v>2</v>
      </c>
      <c r="AX54">
        <v>28181275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ROW(Source!A32)</f>
        <v>32</v>
      </c>
      <c r="B55">
        <v>28181276</v>
      </c>
      <c r="C55">
        <v>28181268</v>
      </c>
      <c r="D55">
        <v>25424462</v>
      </c>
      <c r="E55">
        <v>1</v>
      </c>
      <c r="F55">
        <v>1</v>
      </c>
      <c r="G55">
        <v>1</v>
      </c>
      <c r="H55">
        <v>3</v>
      </c>
      <c r="I55" t="s">
        <v>249</v>
      </c>
      <c r="J55" t="s">
        <v>250</v>
      </c>
      <c r="K55" t="s">
        <v>251</v>
      </c>
      <c r="L55">
        <v>1348</v>
      </c>
      <c r="N55">
        <v>1009</v>
      </c>
      <c r="O55" t="s">
        <v>74</v>
      </c>
      <c r="P55" t="s">
        <v>74</v>
      </c>
      <c r="Q55">
        <v>1000</v>
      </c>
      <c r="Y55">
        <v>0.00562</v>
      </c>
      <c r="AA55">
        <v>15989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0.00562</v>
      </c>
      <c r="AV55">
        <v>0</v>
      </c>
      <c r="AW55">
        <v>2</v>
      </c>
      <c r="AX55">
        <v>28181276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ROW(Source!A32)</f>
        <v>32</v>
      </c>
      <c r="B56">
        <v>28181277</v>
      </c>
      <c r="C56">
        <v>28181268</v>
      </c>
      <c r="D56">
        <v>25424642</v>
      </c>
      <c r="E56">
        <v>1</v>
      </c>
      <c r="F56">
        <v>1</v>
      </c>
      <c r="G56">
        <v>1</v>
      </c>
      <c r="H56">
        <v>3</v>
      </c>
      <c r="I56" t="s">
        <v>252</v>
      </c>
      <c r="J56" t="s">
        <v>253</v>
      </c>
      <c r="K56" t="s">
        <v>254</v>
      </c>
      <c r="L56">
        <v>1348</v>
      </c>
      <c r="N56">
        <v>1009</v>
      </c>
      <c r="O56" t="s">
        <v>74</v>
      </c>
      <c r="P56" t="s">
        <v>74</v>
      </c>
      <c r="Q56">
        <v>1000</v>
      </c>
      <c r="Y56">
        <v>0.00338</v>
      </c>
      <c r="AA56">
        <v>5479.89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0.00338</v>
      </c>
      <c r="AV56">
        <v>0</v>
      </c>
      <c r="AW56">
        <v>2</v>
      </c>
      <c r="AX56">
        <v>28181277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ROW(Source!A32)</f>
        <v>32</v>
      </c>
      <c r="B57">
        <v>28181278</v>
      </c>
      <c r="C57">
        <v>28181268</v>
      </c>
      <c r="D57">
        <v>25427141</v>
      </c>
      <c r="E57">
        <v>1</v>
      </c>
      <c r="F57">
        <v>1</v>
      </c>
      <c r="G57">
        <v>1</v>
      </c>
      <c r="H57">
        <v>3</v>
      </c>
      <c r="I57" t="s">
        <v>255</v>
      </c>
      <c r="J57" t="s">
        <v>256</v>
      </c>
      <c r="K57" t="s">
        <v>257</v>
      </c>
      <c r="L57">
        <v>1354</v>
      </c>
      <c r="N57">
        <v>1010</v>
      </c>
      <c r="O57" t="s">
        <v>82</v>
      </c>
      <c r="P57" t="s">
        <v>82</v>
      </c>
      <c r="Q57">
        <v>1</v>
      </c>
      <c r="Y57">
        <v>100</v>
      </c>
      <c r="AA57">
        <v>0</v>
      </c>
      <c r="AB57">
        <v>0</v>
      </c>
      <c r="AC57">
        <v>0</v>
      </c>
      <c r="AD57">
        <v>0</v>
      </c>
      <c r="AN57">
        <v>1</v>
      </c>
      <c r="AO57">
        <v>0</v>
      </c>
      <c r="AP57">
        <v>0</v>
      </c>
      <c r="AQ57">
        <v>0</v>
      </c>
      <c r="AR57">
        <v>0</v>
      </c>
      <c r="AT57">
        <v>100</v>
      </c>
      <c r="AV57">
        <v>0</v>
      </c>
      <c r="AW57">
        <v>2</v>
      </c>
      <c r="AX57">
        <v>28181278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ROW(Source!A32)</f>
        <v>32</v>
      </c>
      <c r="B58">
        <v>28181279</v>
      </c>
      <c r="C58">
        <v>28181268</v>
      </c>
      <c r="D58">
        <v>25430296</v>
      </c>
      <c r="E58">
        <v>1</v>
      </c>
      <c r="F58">
        <v>1</v>
      </c>
      <c r="G58">
        <v>1</v>
      </c>
      <c r="H58">
        <v>3</v>
      </c>
      <c r="I58" t="s">
        <v>258</v>
      </c>
      <c r="J58" t="s">
        <v>259</v>
      </c>
      <c r="K58" t="s">
        <v>260</v>
      </c>
      <c r="L58">
        <v>1348</v>
      </c>
      <c r="N58">
        <v>1009</v>
      </c>
      <c r="O58" t="s">
        <v>74</v>
      </c>
      <c r="P58" t="s">
        <v>74</v>
      </c>
      <c r="Q58">
        <v>1000</v>
      </c>
      <c r="Y58">
        <v>0</v>
      </c>
      <c r="AA58">
        <v>0</v>
      </c>
      <c r="AB58">
        <v>0</v>
      </c>
      <c r="AC58">
        <v>0</v>
      </c>
      <c r="AD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T58">
        <v>0</v>
      </c>
      <c r="AV58">
        <v>0</v>
      </c>
      <c r="AW58">
        <v>2</v>
      </c>
      <c r="AX58">
        <v>28181279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28184833</v>
      </c>
      <c r="C1">
        <v>28184832</v>
      </c>
      <c r="D1">
        <v>25476394</v>
      </c>
      <c r="E1">
        <v>1</v>
      </c>
      <c r="F1">
        <v>1</v>
      </c>
      <c r="G1">
        <v>1</v>
      </c>
      <c r="H1">
        <v>1</v>
      </c>
      <c r="I1" t="s">
        <v>160</v>
      </c>
      <c r="K1" t="s">
        <v>161</v>
      </c>
      <c r="L1">
        <v>1369</v>
      </c>
      <c r="N1">
        <v>1013</v>
      </c>
      <c r="O1" t="s">
        <v>162</v>
      </c>
      <c r="P1" t="s">
        <v>162</v>
      </c>
      <c r="Q1">
        <v>1</v>
      </c>
      <c r="X1">
        <v>129.8</v>
      </c>
      <c r="Y1">
        <v>0</v>
      </c>
      <c r="Z1">
        <v>0</v>
      </c>
      <c r="AA1">
        <v>0</v>
      </c>
      <c r="AB1">
        <v>8.31</v>
      </c>
      <c r="AC1">
        <v>0</v>
      </c>
      <c r="AD1">
        <v>1</v>
      </c>
      <c r="AE1">
        <v>1</v>
      </c>
      <c r="AG1">
        <v>129.8</v>
      </c>
      <c r="AH1">
        <v>2</v>
      </c>
      <c r="AI1">
        <v>28184833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28184834</v>
      </c>
      <c r="C2">
        <v>28184832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163</v>
      </c>
      <c r="L2">
        <v>608254</v>
      </c>
      <c r="N2">
        <v>1013</v>
      </c>
      <c r="O2" t="s">
        <v>164</v>
      </c>
      <c r="P2" t="s">
        <v>164</v>
      </c>
      <c r="Q2">
        <v>1</v>
      </c>
      <c r="X2">
        <v>7.52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7.52</v>
      </c>
      <c r="AH2">
        <v>2</v>
      </c>
      <c r="AI2">
        <v>28184834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28184835</v>
      </c>
      <c r="C3">
        <v>28184832</v>
      </c>
      <c r="D3">
        <v>25421932</v>
      </c>
      <c r="E3">
        <v>1</v>
      </c>
      <c r="F3">
        <v>1</v>
      </c>
      <c r="G3">
        <v>1</v>
      </c>
      <c r="H3">
        <v>2</v>
      </c>
      <c r="I3" t="s">
        <v>165</v>
      </c>
      <c r="J3" t="s">
        <v>166</v>
      </c>
      <c r="K3" t="s">
        <v>167</v>
      </c>
      <c r="L3">
        <v>1368</v>
      </c>
      <c r="N3">
        <v>1011</v>
      </c>
      <c r="O3" t="s">
        <v>168</v>
      </c>
      <c r="P3" t="s">
        <v>168</v>
      </c>
      <c r="Q3">
        <v>1</v>
      </c>
      <c r="X3">
        <v>4.1</v>
      </c>
      <c r="Y3">
        <v>0</v>
      </c>
      <c r="Z3">
        <v>46.56</v>
      </c>
      <c r="AA3">
        <v>10.06</v>
      </c>
      <c r="AB3">
        <v>0</v>
      </c>
      <c r="AC3">
        <v>0</v>
      </c>
      <c r="AD3">
        <v>1</v>
      </c>
      <c r="AE3">
        <v>0</v>
      </c>
      <c r="AG3">
        <v>4.1</v>
      </c>
      <c r="AH3">
        <v>2</v>
      </c>
      <c r="AI3">
        <v>28184835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28184836</v>
      </c>
      <c r="C4">
        <v>28184832</v>
      </c>
      <c r="D4">
        <v>25422321</v>
      </c>
      <c r="E4">
        <v>1</v>
      </c>
      <c r="F4">
        <v>1</v>
      </c>
      <c r="G4">
        <v>1</v>
      </c>
      <c r="H4">
        <v>2</v>
      </c>
      <c r="I4" t="s">
        <v>169</v>
      </c>
      <c r="J4" t="s">
        <v>170</v>
      </c>
      <c r="K4" t="s">
        <v>171</v>
      </c>
      <c r="L4">
        <v>1368</v>
      </c>
      <c r="N4">
        <v>1011</v>
      </c>
      <c r="O4" t="s">
        <v>168</v>
      </c>
      <c r="P4" t="s">
        <v>168</v>
      </c>
      <c r="Q4">
        <v>1</v>
      </c>
      <c r="X4">
        <v>3.42</v>
      </c>
      <c r="Y4">
        <v>0</v>
      </c>
      <c r="Z4">
        <v>75</v>
      </c>
      <c r="AA4">
        <v>11.6</v>
      </c>
      <c r="AB4">
        <v>0</v>
      </c>
      <c r="AC4">
        <v>0</v>
      </c>
      <c r="AD4">
        <v>1</v>
      </c>
      <c r="AE4">
        <v>0</v>
      </c>
      <c r="AG4">
        <v>3.42</v>
      </c>
      <c r="AH4">
        <v>2</v>
      </c>
      <c r="AI4">
        <v>28184836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28184837</v>
      </c>
      <c r="C5">
        <v>28184832</v>
      </c>
      <c r="D5">
        <v>25422344</v>
      </c>
      <c r="E5">
        <v>1</v>
      </c>
      <c r="F5">
        <v>1</v>
      </c>
      <c r="G5">
        <v>1</v>
      </c>
      <c r="H5">
        <v>2</v>
      </c>
      <c r="I5" t="s">
        <v>172</v>
      </c>
      <c r="J5" t="s">
        <v>173</v>
      </c>
      <c r="K5" t="s">
        <v>174</v>
      </c>
      <c r="L5">
        <v>1368</v>
      </c>
      <c r="N5">
        <v>1011</v>
      </c>
      <c r="O5" t="s">
        <v>168</v>
      </c>
      <c r="P5" t="s">
        <v>168</v>
      </c>
      <c r="Q5">
        <v>1</v>
      </c>
      <c r="X5">
        <v>1.4</v>
      </c>
      <c r="Y5">
        <v>0</v>
      </c>
      <c r="Z5">
        <v>30</v>
      </c>
      <c r="AA5">
        <v>0</v>
      </c>
      <c r="AB5">
        <v>0</v>
      </c>
      <c r="AC5">
        <v>0</v>
      </c>
      <c r="AD5">
        <v>1</v>
      </c>
      <c r="AE5">
        <v>0</v>
      </c>
      <c r="AG5">
        <v>1.4</v>
      </c>
      <c r="AH5">
        <v>2</v>
      </c>
      <c r="AI5">
        <v>28184837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28184838</v>
      </c>
      <c r="C6">
        <v>28184832</v>
      </c>
      <c r="D6">
        <v>25423147</v>
      </c>
      <c r="E6">
        <v>1</v>
      </c>
      <c r="F6">
        <v>1</v>
      </c>
      <c r="G6">
        <v>1</v>
      </c>
      <c r="H6">
        <v>2</v>
      </c>
      <c r="I6" t="s">
        <v>175</v>
      </c>
      <c r="J6" t="s">
        <v>176</v>
      </c>
      <c r="K6" t="s">
        <v>177</v>
      </c>
      <c r="L6">
        <v>1368</v>
      </c>
      <c r="N6">
        <v>1011</v>
      </c>
      <c r="O6" t="s">
        <v>168</v>
      </c>
      <c r="P6" t="s">
        <v>168</v>
      </c>
      <c r="Q6">
        <v>1</v>
      </c>
      <c r="X6">
        <v>8.2</v>
      </c>
      <c r="Y6">
        <v>0</v>
      </c>
      <c r="Z6">
        <v>1.53</v>
      </c>
      <c r="AA6">
        <v>0</v>
      </c>
      <c r="AB6">
        <v>0</v>
      </c>
      <c r="AC6">
        <v>0</v>
      </c>
      <c r="AD6">
        <v>1</v>
      </c>
      <c r="AE6">
        <v>0</v>
      </c>
      <c r="AG6">
        <v>8.2</v>
      </c>
      <c r="AH6">
        <v>2</v>
      </c>
      <c r="AI6">
        <v>28184838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28184839</v>
      </c>
      <c r="C7">
        <v>28184832</v>
      </c>
      <c r="D7">
        <v>25423431</v>
      </c>
      <c r="E7">
        <v>1</v>
      </c>
      <c r="F7">
        <v>1</v>
      </c>
      <c r="G7">
        <v>1</v>
      </c>
      <c r="H7">
        <v>2</v>
      </c>
      <c r="I7" t="s">
        <v>178</v>
      </c>
      <c r="J7" t="s">
        <v>179</v>
      </c>
      <c r="K7" t="s">
        <v>180</v>
      </c>
      <c r="L7">
        <v>1368</v>
      </c>
      <c r="N7">
        <v>1011</v>
      </c>
      <c r="O7" t="s">
        <v>168</v>
      </c>
      <c r="P7" t="s">
        <v>168</v>
      </c>
      <c r="Q7">
        <v>1</v>
      </c>
      <c r="X7">
        <v>0.14</v>
      </c>
      <c r="Y7">
        <v>0</v>
      </c>
      <c r="Z7">
        <v>87.17</v>
      </c>
      <c r="AA7">
        <v>11.6</v>
      </c>
      <c r="AB7">
        <v>0</v>
      </c>
      <c r="AC7">
        <v>0</v>
      </c>
      <c r="AD7">
        <v>1</v>
      </c>
      <c r="AE7">
        <v>0</v>
      </c>
      <c r="AG7">
        <v>0.14</v>
      </c>
      <c r="AH7">
        <v>2</v>
      </c>
      <c r="AI7">
        <v>28184839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28184840</v>
      </c>
      <c r="C8">
        <v>28184832</v>
      </c>
      <c r="D8">
        <v>25425153</v>
      </c>
      <c r="E8">
        <v>1</v>
      </c>
      <c r="F8">
        <v>1</v>
      </c>
      <c r="G8">
        <v>1</v>
      </c>
      <c r="H8">
        <v>3</v>
      </c>
      <c r="I8" t="s">
        <v>181</v>
      </c>
      <c r="J8" t="s">
        <v>182</v>
      </c>
      <c r="K8" t="s">
        <v>183</v>
      </c>
      <c r="L8">
        <v>1348</v>
      </c>
      <c r="N8">
        <v>1009</v>
      </c>
      <c r="O8" t="s">
        <v>74</v>
      </c>
      <c r="P8" t="s">
        <v>74</v>
      </c>
      <c r="Q8">
        <v>1000</v>
      </c>
      <c r="X8">
        <v>0.08</v>
      </c>
      <c r="Y8">
        <v>1690.01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0.08</v>
      </c>
      <c r="AH8">
        <v>2</v>
      </c>
      <c r="AI8">
        <v>28184840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28184841</v>
      </c>
      <c r="C9">
        <v>28184832</v>
      </c>
      <c r="D9">
        <v>25443075</v>
      </c>
      <c r="E9">
        <v>1</v>
      </c>
      <c r="F9">
        <v>1</v>
      </c>
      <c r="G9">
        <v>1</v>
      </c>
      <c r="H9">
        <v>3</v>
      </c>
      <c r="I9" t="s">
        <v>184</v>
      </c>
      <c r="J9" t="s">
        <v>185</v>
      </c>
      <c r="K9" t="s">
        <v>186</v>
      </c>
      <c r="L9">
        <v>1348</v>
      </c>
      <c r="N9">
        <v>1009</v>
      </c>
      <c r="O9" t="s">
        <v>74</v>
      </c>
      <c r="P9" t="s">
        <v>74</v>
      </c>
      <c r="Q9">
        <v>1000</v>
      </c>
      <c r="X9">
        <v>16.6</v>
      </c>
      <c r="Y9">
        <v>459.91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16.6</v>
      </c>
      <c r="AH9">
        <v>2</v>
      </c>
      <c r="AI9">
        <v>28184841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28184842</v>
      </c>
      <c r="C10">
        <v>28184832</v>
      </c>
      <c r="D10">
        <v>25454692</v>
      </c>
      <c r="E10">
        <v>1</v>
      </c>
      <c r="F10">
        <v>1</v>
      </c>
      <c r="G10">
        <v>1</v>
      </c>
      <c r="H10">
        <v>3</v>
      </c>
      <c r="I10" t="s">
        <v>187</v>
      </c>
      <c r="J10" t="s">
        <v>188</v>
      </c>
      <c r="K10" t="s">
        <v>189</v>
      </c>
      <c r="L10">
        <v>1348</v>
      </c>
      <c r="N10">
        <v>1009</v>
      </c>
      <c r="O10" t="s">
        <v>74</v>
      </c>
      <c r="P10" t="s">
        <v>74</v>
      </c>
      <c r="Q10">
        <v>1000</v>
      </c>
      <c r="X10">
        <v>12.5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G10">
        <v>12.5</v>
      </c>
      <c r="AH10">
        <v>2</v>
      </c>
      <c r="AI10">
        <v>28184842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28181180</v>
      </c>
      <c r="C11">
        <v>28181179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25</v>
      </c>
      <c r="K11" t="s">
        <v>163</v>
      </c>
      <c r="L11">
        <v>608254</v>
      </c>
      <c r="N11">
        <v>1013</v>
      </c>
      <c r="O11" t="s">
        <v>164</v>
      </c>
      <c r="P11" t="s">
        <v>164</v>
      </c>
      <c r="Q11">
        <v>1</v>
      </c>
      <c r="X11">
        <v>0.38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G11">
        <v>0.38</v>
      </c>
      <c r="AH11">
        <v>2</v>
      </c>
      <c r="AI11">
        <v>28181180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28181181</v>
      </c>
      <c r="C12">
        <v>28181179</v>
      </c>
      <c r="D12">
        <v>25422054</v>
      </c>
      <c r="E12">
        <v>1</v>
      </c>
      <c r="F12">
        <v>1</v>
      </c>
      <c r="G12">
        <v>1</v>
      </c>
      <c r="H12">
        <v>2</v>
      </c>
      <c r="I12" t="s">
        <v>190</v>
      </c>
      <c r="J12" t="s">
        <v>191</v>
      </c>
      <c r="K12" t="s">
        <v>192</v>
      </c>
      <c r="L12">
        <v>1368</v>
      </c>
      <c r="N12">
        <v>1011</v>
      </c>
      <c r="O12" t="s">
        <v>168</v>
      </c>
      <c r="P12" t="s">
        <v>168</v>
      </c>
      <c r="Q12">
        <v>1</v>
      </c>
      <c r="X12">
        <v>0.38</v>
      </c>
      <c r="Y12">
        <v>0</v>
      </c>
      <c r="Z12">
        <v>61.3</v>
      </c>
      <c r="AA12">
        <v>13.5</v>
      </c>
      <c r="AB12">
        <v>0</v>
      </c>
      <c r="AC12">
        <v>0</v>
      </c>
      <c r="AD12">
        <v>1</v>
      </c>
      <c r="AE12">
        <v>0</v>
      </c>
      <c r="AG12">
        <v>0.38</v>
      </c>
      <c r="AH12">
        <v>2</v>
      </c>
      <c r="AI12">
        <v>28181181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28181183</v>
      </c>
      <c r="C13">
        <v>28181182</v>
      </c>
      <c r="D13">
        <v>25473910</v>
      </c>
      <c r="E13">
        <v>1</v>
      </c>
      <c r="F13">
        <v>1</v>
      </c>
      <c r="G13">
        <v>1</v>
      </c>
      <c r="H13">
        <v>1</v>
      </c>
      <c r="I13" t="s">
        <v>193</v>
      </c>
      <c r="K13" t="s">
        <v>194</v>
      </c>
      <c r="L13">
        <v>1369</v>
      </c>
      <c r="N13">
        <v>1013</v>
      </c>
      <c r="O13" t="s">
        <v>162</v>
      </c>
      <c r="P13" t="s">
        <v>162</v>
      </c>
      <c r="Q13">
        <v>1</v>
      </c>
      <c r="X13">
        <v>15.72</v>
      </c>
      <c r="Y13">
        <v>0</v>
      </c>
      <c r="Z13">
        <v>0</v>
      </c>
      <c r="AA13">
        <v>0</v>
      </c>
      <c r="AB13">
        <v>8.02</v>
      </c>
      <c r="AC13">
        <v>0</v>
      </c>
      <c r="AD13">
        <v>1</v>
      </c>
      <c r="AE13">
        <v>1</v>
      </c>
      <c r="AG13">
        <v>15.72</v>
      </c>
      <c r="AH13">
        <v>2</v>
      </c>
      <c r="AI13">
        <v>28181183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28181184</v>
      </c>
      <c r="C14">
        <v>28181182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25</v>
      </c>
      <c r="K14" t="s">
        <v>163</v>
      </c>
      <c r="L14">
        <v>608254</v>
      </c>
      <c r="N14">
        <v>1013</v>
      </c>
      <c r="O14" t="s">
        <v>164</v>
      </c>
      <c r="P14" t="s">
        <v>164</v>
      </c>
      <c r="Q14">
        <v>1</v>
      </c>
      <c r="X14">
        <v>13.88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13.88</v>
      </c>
      <c r="AH14">
        <v>2</v>
      </c>
      <c r="AI14">
        <v>28181184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28181185</v>
      </c>
      <c r="C15">
        <v>28181182</v>
      </c>
      <c r="D15">
        <v>25421764</v>
      </c>
      <c r="E15">
        <v>1</v>
      </c>
      <c r="F15">
        <v>1</v>
      </c>
      <c r="G15">
        <v>1</v>
      </c>
      <c r="H15">
        <v>2</v>
      </c>
      <c r="I15" t="s">
        <v>195</v>
      </c>
      <c r="J15" t="s">
        <v>196</v>
      </c>
      <c r="K15" t="s">
        <v>197</v>
      </c>
      <c r="L15">
        <v>1368</v>
      </c>
      <c r="N15">
        <v>1011</v>
      </c>
      <c r="O15" t="s">
        <v>168</v>
      </c>
      <c r="P15" t="s">
        <v>168</v>
      </c>
      <c r="Q15">
        <v>1</v>
      </c>
      <c r="X15">
        <v>4.29</v>
      </c>
      <c r="Y15">
        <v>0</v>
      </c>
      <c r="Z15">
        <v>99.89</v>
      </c>
      <c r="AA15">
        <v>10.06</v>
      </c>
      <c r="AB15">
        <v>0</v>
      </c>
      <c r="AC15">
        <v>0</v>
      </c>
      <c r="AD15">
        <v>1</v>
      </c>
      <c r="AE15">
        <v>0</v>
      </c>
      <c r="AG15">
        <v>4.29</v>
      </c>
      <c r="AH15">
        <v>2</v>
      </c>
      <c r="AI15">
        <v>28181185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28181186</v>
      </c>
      <c r="C16">
        <v>28181182</v>
      </c>
      <c r="D16">
        <v>25422296</v>
      </c>
      <c r="E16">
        <v>1</v>
      </c>
      <c r="F16">
        <v>1</v>
      </c>
      <c r="G16">
        <v>1</v>
      </c>
      <c r="H16">
        <v>2</v>
      </c>
      <c r="I16" t="s">
        <v>198</v>
      </c>
      <c r="J16" t="s">
        <v>199</v>
      </c>
      <c r="K16" t="s">
        <v>200</v>
      </c>
      <c r="L16">
        <v>1368</v>
      </c>
      <c r="N16">
        <v>1011</v>
      </c>
      <c r="O16" t="s">
        <v>168</v>
      </c>
      <c r="P16" t="s">
        <v>168</v>
      </c>
      <c r="Q16">
        <v>1</v>
      </c>
      <c r="X16">
        <v>1.77</v>
      </c>
      <c r="Y16">
        <v>0</v>
      </c>
      <c r="Z16">
        <v>123</v>
      </c>
      <c r="AA16">
        <v>13.5</v>
      </c>
      <c r="AB16">
        <v>0</v>
      </c>
      <c r="AC16">
        <v>0</v>
      </c>
      <c r="AD16">
        <v>1</v>
      </c>
      <c r="AE16">
        <v>0</v>
      </c>
      <c r="AG16">
        <v>1.77</v>
      </c>
      <c r="AH16">
        <v>2</v>
      </c>
      <c r="AI16">
        <v>28181186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28181187</v>
      </c>
      <c r="C17">
        <v>28181182</v>
      </c>
      <c r="D17">
        <v>25422326</v>
      </c>
      <c r="E17">
        <v>1</v>
      </c>
      <c r="F17">
        <v>1</v>
      </c>
      <c r="G17">
        <v>1</v>
      </c>
      <c r="H17">
        <v>2</v>
      </c>
      <c r="I17" t="s">
        <v>201</v>
      </c>
      <c r="J17" t="s">
        <v>202</v>
      </c>
      <c r="K17" t="s">
        <v>203</v>
      </c>
      <c r="L17">
        <v>1368</v>
      </c>
      <c r="N17">
        <v>1011</v>
      </c>
      <c r="O17" t="s">
        <v>168</v>
      </c>
      <c r="P17" t="s">
        <v>168</v>
      </c>
      <c r="Q17">
        <v>1</v>
      </c>
      <c r="X17">
        <v>7.08</v>
      </c>
      <c r="Y17">
        <v>0</v>
      </c>
      <c r="Z17">
        <v>206.01</v>
      </c>
      <c r="AA17">
        <v>14.4</v>
      </c>
      <c r="AB17">
        <v>0</v>
      </c>
      <c r="AC17">
        <v>0</v>
      </c>
      <c r="AD17">
        <v>1</v>
      </c>
      <c r="AE17">
        <v>0</v>
      </c>
      <c r="AG17">
        <v>7.08</v>
      </c>
      <c r="AH17">
        <v>2</v>
      </c>
      <c r="AI17">
        <v>28181187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28181188</v>
      </c>
      <c r="C18">
        <v>28181182</v>
      </c>
      <c r="D18">
        <v>25422380</v>
      </c>
      <c r="E18">
        <v>1</v>
      </c>
      <c r="F18">
        <v>1</v>
      </c>
      <c r="G18">
        <v>1</v>
      </c>
      <c r="H18">
        <v>2</v>
      </c>
      <c r="I18" t="s">
        <v>204</v>
      </c>
      <c r="J18" t="s">
        <v>205</v>
      </c>
      <c r="K18" t="s">
        <v>206</v>
      </c>
      <c r="L18">
        <v>1368</v>
      </c>
      <c r="N18">
        <v>1011</v>
      </c>
      <c r="O18" t="s">
        <v>168</v>
      </c>
      <c r="P18" t="s">
        <v>168</v>
      </c>
      <c r="Q18">
        <v>1</v>
      </c>
      <c r="X18">
        <v>0.74</v>
      </c>
      <c r="Y18">
        <v>0</v>
      </c>
      <c r="Z18">
        <v>110</v>
      </c>
      <c r="AA18">
        <v>11.6</v>
      </c>
      <c r="AB18">
        <v>0</v>
      </c>
      <c r="AC18">
        <v>0</v>
      </c>
      <c r="AD18">
        <v>1</v>
      </c>
      <c r="AE18">
        <v>0</v>
      </c>
      <c r="AG18">
        <v>0.74</v>
      </c>
      <c r="AH18">
        <v>2</v>
      </c>
      <c r="AI18">
        <v>28181188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28181189</v>
      </c>
      <c r="C19">
        <v>28181182</v>
      </c>
      <c r="D19">
        <v>25443005</v>
      </c>
      <c r="E19">
        <v>1</v>
      </c>
      <c r="F19">
        <v>1</v>
      </c>
      <c r="G19">
        <v>1</v>
      </c>
      <c r="H19">
        <v>3</v>
      </c>
      <c r="I19" t="s">
        <v>261</v>
      </c>
      <c r="J19" t="s">
        <v>262</v>
      </c>
      <c r="K19" t="s">
        <v>263</v>
      </c>
      <c r="L19">
        <v>1339</v>
      </c>
      <c r="N19">
        <v>1007</v>
      </c>
      <c r="O19" t="s">
        <v>45</v>
      </c>
      <c r="P19" t="s">
        <v>45</v>
      </c>
      <c r="Q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G19">
        <v>0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28181190</v>
      </c>
      <c r="C20">
        <v>28181182</v>
      </c>
      <c r="D20">
        <v>25443135</v>
      </c>
      <c r="E20">
        <v>1</v>
      </c>
      <c r="F20">
        <v>1</v>
      </c>
      <c r="G20">
        <v>1</v>
      </c>
      <c r="H20">
        <v>3</v>
      </c>
      <c r="I20" t="s">
        <v>207</v>
      </c>
      <c r="J20" t="s">
        <v>208</v>
      </c>
      <c r="K20" t="s">
        <v>209</v>
      </c>
      <c r="L20">
        <v>1339</v>
      </c>
      <c r="N20">
        <v>1007</v>
      </c>
      <c r="O20" t="s">
        <v>45</v>
      </c>
      <c r="P20" t="s">
        <v>45</v>
      </c>
      <c r="Q20">
        <v>1</v>
      </c>
      <c r="X20">
        <v>5</v>
      </c>
      <c r="Y20">
        <v>2.44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5</v>
      </c>
      <c r="AH20">
        <v>2</v>
      </c>
      <c r="AI20">
        <v>28181190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ROW(Source!A28)</f>
        <v>28</v>
      </c>
      <c r="B21">
        <v>28181193</v>
      </c>
      <c r="C21">
        <v>28181192</v>
      </c>
      <c r="D21">
        <v>25475844</v>
      </c>
      <c r="E21">
        <v>1</v>
      </c>
      <c r="F21">
        <v>1</v>
      </c>
      <c r="G21">
        <v>1</v>
      </c>
      <c r="H21">
        <v>1</v>
      </c>
      <c r="I21" t="s">
        <v>210</v>
      </c>
      <c r="K21" t="s">
        <v>211</v>
      </c>
      <c r="L21">
        <v>1369</v>
      </c>
      <c r="N21">
        <v>1013</v>
      </c>
      <c r="O21" t="s">
        <v>162</v>
      </c>
      <c r="P21" t="s">
        <v>162</v>
      </c>
      <c r="Q21">
        <v>1</v>
      </c>
      <c r="X21">
        <v>24.19</v>
      </c>
      <c r="Y21">
        <v>0</v>
      </c>
      <c r="Z21">
        <v>0</v>
      </c>
      <c r="AA21">
        <v>0</v>
      </c>
      <c r="AB21">
        <v>8.09</v>
      </c>
      <c r="AC21">
        <v>0</v>
      </c>
      <c r="AD21">
        <v>1</v>
      </c>
      <c r="AE21">
        <v>1</v>
      </c>
      <c r="AG21">
        <v>24.19</v>
      </c>
      <c r="AH21">
        <v>2</v>
      </c>
      <c r="AI21">
        <v>28181193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ROW(Source!A28)</f>
        <v>28</v>
      </c>
      <c r="B22">
        <v>28181194</v>
      </c>
      <c r="C22">
        <v>28181192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25</v>
      </c>
      <c r="K22" t="s">
        <v>163</v>
      </c>
      <c r="L22">
        <v>608254</v>
      </c>
      <c r="N22">
        <v>1013</v>
      </c>
      <c r="O22" t="s">
        <v>164</v>
      </c>
      <c r="P22" t="s">
        <v>164</v>
      </c>
      <c r="Q22">
        <v>1</v>
      </c>
      <c r="X22">
        <v>20.6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G22">
        <v>20.6</v>
      </c>
      <c r="AH22">
        <v>2</v>
      </c>
      <c r="AI22">
        <v>28181194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ROW(Source!A28)</f>
        <v>28</v>
      </c>
      <c r="B23">
        <v>28181195</v>
      </c>
      <c r="C23">
        <v>28181192</v>
      </c>
      <c r="D23">
        <v>25421764</v>
      </c>
      <c r="E23">
        <v>1</v>
      </c>
      <c r="F23">
        <v>1</v>
      </c>
      <c r="G23">
        <v>1</v>
      </c>
      <c r="H23">
        <v>2</v>
      </c>
      <c r="I23" t="s">
        <v>195</v>
      </c>
      <c r="J23" t="s">
        <v>196</v>
      </c>
      <c r="K23" t="s">
        <v>197</v>
      </c>
      <c r="L23">
        <v>1368</v>
      </c>
      <c r="N23">
        <v>1011</v>
      </c>
      <c r="O23" t="s">
        <v>168</v>
      </c>
      <c r="P23" t="s">
        <v>168</v>
      </c>
      <c r="Q23">
        <v>1</v>
      </c>
      <c r="X23">
        <v>2.46</v>
      </c>
      <c r="Y23">
        <v>0</v>
      </c>
      <c r="Z23">
        <v>99.89</v>
      </c>
      <c r="AA23">
        <v>10.06</v>
      </c>
      <c r="AB23">
        <v>0</v>
      </c>
      <c r="AC23">
        <v>0</v>
      </c>
      <c r="AD23">
        <v>1</v>
      </c>
      <c r="AE23">
        <v>0</v>
      </c>
      <c r="AG23">
        <v>2.46</v>
      </c>
      <c r="AH23">
        <v>2</v>
      </c>
      <c r="AI23">
        <v>28181195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28181196</v>
      </c>
      <c r="C24">
        <v>28181192</v>
      </c>
      <c r="D24">
        <v>25422055</v>
      </c>
      <c r="E24">
        <v>1</v>
      </c>
      <c r="F24">
        <v>1</v>
      </c>
      <c r="G24">
        <v>1</v>
      </c>
      <c r="H24">
        <v>2</v>
      </c>
      <c r="I24" t="s">
        <v>212</v>
      </c>
      <c r="J24" t="s">
        <v>213</v>
      </c>
      <c r="K24" t="s">
        <v>214</v>
      </c>
      <c r="L24">
        <v>1368</v>
      </c>
      <c r="N24">
        <v>1011</v>
      </c>
      <c r="O24" t="s">
        <v>168</v>
      </c>
      <c r="P24" t="s">
        <v>168</v>
      </c>
      <c r="Q24">
        <v>1</v>
      </c>
      <c r="X24">
        <v>2.59</v>
      </c>
      <c r="Y24">
        <v>0</v>
      </c>
      <c r="Z24">
        <v>80.01</v>
      </c>
      <c r="AA24">
        <v>14.4</v>
      </c>
      <c r="AB24">
        <v>0</v>
      </c>
      <c r="AC24">
        <v>0</v>
      </c>
      <c r="AD24">
        <v>1</v>
      </c>
      <c r="AE24">
        <v>0</v>
      </c>
      <c r="AG24">
        <v>2.59</v>
      </c>
      <c r="AH24">
        <v>2</v>
      </c>
      <c r="AI24">
        <v>28181196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28181197</v>
      </c>
      <c r="C25">
        <v>28181192</v>
      </c>
      <c r="D25">
        <v>25422296</v>
      </c>
      <c r="E25">
        <v>1</v>
      </c>
      <c r="F25">
        <v>1</v>
      </c>
      <c r="G25">
        <v>1</v>
      </c>
      <c r="H25">
        <v>2</v>
      </c>
      <c r="I25" t="s">
        <v>198</v>
      </c>
      <c r="J25" t="s">
        <v>199</v>
      </c>
      <c r="K25" t="s">
        <v>200</v>
      </c>
      <c r="L25">
        <v>1368</v>
      </c>
      <c r="N25">
        <v>1011</v>
      </c>
      <c r="O25" t="s">
        <v>168</v>
      </c>
      <c r="P25" t="s">
        <v>168</v>
      </c>
      <c r="Q25">
        <v>1</v>
      </c>
      <c r="X25">
        <v>2.3</v>
      </c>
      <c r="Y25">
        <v>0</v>
      </c>
      <c r="Z25">
        <v>123</v>
      </c>
      <c r="AA25">
        <v>13.5</v>
      </c>
      <c r="AB25">
        <v>0</v>
      </c>
      <c r="AC25">
        <v>0</v>
      </c>
      <c r="AD25">
        <v>1</v>
      </c>
      <c r="AE25">
        <v>0</v>
      </c>
      <c r="AG25">
        <v>2.3</v>
      </c>
      <c r="AH25">
        <v>2</v>
      </c>
      <c r="AI25">
        <v>28181197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28181198</v>
      </c>
      <c r="C26">
        <v>28181192</v>
      </c>
      <c r="D26">
        <v>25422326</v>
      </c>
      <c r="E26">
        <v>1</v>
      </c>
      <c r="F26">
        <v>1</v>
      </c>
      <c r="G26">
        <v>1</v>
      </c>
      <c r="H26">
        <v>2</v>
      </c>
      <c r="I26" t="s">
        <v>201</v>
      </c>
      <c r="J26" t="s">
        <v>202</v>
      </c>
      <c r="K26" t="s">
        <v>203</v>
      </c>
      <c r="L26">
        <v>1368</v>
      </c>
      <c r="N26">
        <v>1011</v>
      </c>
      <c r="O26" t="s">
        <v>168</v>
      </c>
      <c r="P26" t="s">
        <v>168</v>
      </c>
      <c r="Q26">
        <v>1</v>
      </c>
      <c r="X26">
        <v>12.21</v>
      </c>
      <c r="Y26">
        <v>0</v>
      </c>
      <c r="Z26">
        <v>206.01</v>
      </c>
      <c r="AA26">
        <v>14.4</v>
      </c>
      <c r="AB26">
        <v>0</v>
      </c>
      <c r="AC26">
        <v>0</v>
      </c>
      <c r="AD26">
        <v>1</v>
      </c>
      <c r="AE26">
        <v>0</v>
      </c>
      <c r="AG26">
        <v>12.21</v>
      </c>
      <c r="AH26">
        <v>2</v>
      </c>
      <c r="AI26">
        <v>28181198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28181199</v>
      </c>
      <c r="C27">
        <v>28181192</v>
      </c>
      <c r="D27">
        <v>25422380</v>
      </c>
      <c r="E27">
        <v>1</v>
      </c>
      <c r="F27">
        <v>1</v>
      </c>
      <c r="G27">
        <v>1</v>
      </c>
      <c r="H27">
        <v>2</v>
      </c>
      <c r="I27" t="s">
        <v>204</v>
      </c>
      <c r="J27" t="s">
        <v>205</v>
      </c>
      <c r="K27" t="s">
        <v>206</v>
      </c>
      <c r="L27">
        <v>1368</v>
      </c>
      <c r="N27">
        <v>1011</v>
      </c>
      <c r="O27" t="s">
        <v>168</v>
      </c>
      <c r="P27" t="s">
        <v>168</v>
      </c>
      <c r="Q27">
        <v>1</v>
      </c>
      <c r="X27">
        <v>1.04</v>
      </c>
      <c r="Y27">
        <v>0</v>
      </c>
      <c r="Z27">
        <v>110</v>
      </c>
      <c r="AA27">
        <v>11.6</v>
      </c>
      <c r="AB27">
        <v>0</v>
      </c>
      <c r="AC27">
        <v>0</v>
      </c>
      <c r="AD27">
        <v>1</v>
      </c>
      <c r="AE27">
        <v>0</v>
      </c>
      <c r="AG27">
        <v>1.04</v>
      </c>
      <c r="AH27">
        <v>2</v>
      </c>
      <c r="AI27">
        <v>28181199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28181200</v>
      </c>
      <c r="C28">
        <v>28181192</v>
      </c>
      <c r="D28">
        <v>25443009</v>
      </c>
      <c r="E28">
        <v>1</v>
      </c>
      <c r="F28">
        <v>1</v>
      </c>
      <c r="G28">
        <v>1</v>
      </c>
      <c r="H28">
        <v>3</v>
      </c>
      <c r="I28" t="s">
        <v>264</v>
      </c>
      <c r="J28" t="s">
        <v>265</v>
      </c>
      <c r="K28" t="s">
        <v>266</v>
      </c>
      <c r="L28">
        <v>1339</v>
      </c>
      <c r="N28">
        <v>1007</v>
      </c>
      <c r="O28" t="s">
        <v>45</v>
      </c>
      <c r="P28" t="s">
        <v>45</v>
      </c>
      <c r="Q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G28">
        <v>0</v>
      </c>
      <c r="AH28">
        <v>3</v>
      </c>
      <c r="AI28">
        <v>-1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28181201</v>
      </c>
      <c r="C29">
        <v>28181192</v>
      </c>
      <c r="D29">
        <v>25443135</v>
      </c>
      <c r="E29">
        <v>1</v>
      </c>
      <c r="F29">
        <v>1</v>
      </c>
      <c r="G29">
        <v>1</v>
      </c>
      <c r="H29">
        <v>3</v>
      </c>
      <c r="I29" t="s">
        <v>207</v>
      </c>
      <c r="J29" t="s">
        <v>208</v>
      </c>
      <c r="K29" t="s">
        <v>209</v>
      </c>
      <c r="L29">
        <v>1339</v>
      </c>
      <c r="N29">
        <v>1007</v>
      </c>
      <c r="O29" t="s">
        <v>45</v>
      </c>
      <c r="P29" t="s">
        <v>45</v>
      </c>
      <c r="Q29">
        <v>1</v>
      </c>
      <c r="X29">
        <v>7</v>
      </c>
      <c r="Y29">
        <v>2.44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7</v>
      </c>
      <c r="AH29">
        <v>2</v>
      </c>
      <c r="AI29">
        <v>28181201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28181204</v>
      </c>
      <c r="C30">
        <v>28181203</v>
      </c>
      <c r="D30">
        <v>25476969</v>
      </c>
      <c r="E30">
        <v>1</v>
      </c>
      <c r="F30">
        <v>1</v>
      </c>
      <c r="G30">
        <v>1</v>
      </c>
      <c r="H30">
        <v>1</v>
      </c>
      <c r="I30" t="s">
        <v>215</v>
      </c>
      <c r="K30" t="s">
        <v>216</v>
      </c>
      <c r="L30">
        <v>1369</v>
      </c>
      <c r="N30">
        <v>1013</v>
      </c>
      <c r="O30" t="s">
        <v>162</v>
      </c>
      <c r="P30" t="s">
        <v>162</v>
      </c>
      <c r="Q30">
        <v>1</v>
      </c>
      <c r="X30">
        <v>38.3</v>
      </c>
      <c r="Y30">
        <v>0</v>
      </c>
      <c r="Z30">
        <v>0</v>
      </c>
      <c r="AA30">
        <v>0</v>
      </c>
      <c r="AB30">
        <v>9.62</v>
      </c>
      <c r="AC30">
        <v>0</v>
      </c>
      <c r="AD30">
        <v>1</v>
      </c>
      <c r="AE30">
        <v>1</v>
      </c>
      <c r="AG30">
        <v>38.3</v>
      </c>
      <c r="AH30">
        <v>2</v>
      </c>
      <c r="AI30">
        <v>28181204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28181205</v>
      </c>
      <c r="C31">
        <v>28181203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25</v>
      </c>
      <c r="K31" t="s">
        <v>163</v>
      </c>
      <c r="L31">
        <v>608254</v>
      </c>
      <c r="N31">
        <v>1013</v>
      </c>
      <c r="O31" t="s">
        <v>164</v>
      </c>
      <c r="P31" t="s">
        <v>164</v>
      </c>
      <c r="Q31">
        <v>1</v>
      </c>
      <c r="X31">
        <v>19.08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G31">
        <v>19.08</v>
      </c>
      <c r="AH31">
        <v>2</v>
      </c>
      <c r="AI31">
        <v>28181205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28181206</v>
      </c>
      <c r="C32">
        <v>28181203</v>
      </c>
      <c r="D32">
        <v>25421695</v>
      </c>
      <c r="E32">
        <v>1</v>
      </c>
      <c r="F32">
        <v>1</v>
      </c>
      <c r="G32">
        <v>1</v>
      </c>
      <c r="H32">
        <v>2</v>
      </c>
      <c r="I32" t="s">
        <v>217</v>
      </c>
      <c r="J32" t="s">
        <v>218</v>
      </c>
      <c r="K32" t="s">
        <v>219</v>
      </c>
      <c r="L32">
        <v>1368</v>
      </c>
      <c r="N32">
        <v>1011</v>
      </c>
      <c r="O32" t="s">
        <v>168</v>
      </c>
      <c r="P32" t="s">
        <v>168</v>
      </c>
      <c r="Q32">
        <v>1</v>
      </c>
      <c r="X32">
        <v>0.03</v>
      </c>
      <c r="Y32">
        <v>0</v>
      </c>
      <c r="Z32">
        <v>112</v>
      </c>
      <c r="AA32">
        <v>13.5</v>
      </c>
      <c r="AB32">
        <v>0</v>
      </c>
      <c r="AC32">
        <v>0</v>
      </c>
      <c r="AD32">
        <v>1</v>
      </c>
      <c r="AE32">
        <v>0</v>
      </c>
      <c r="AG32">
        <v>0.03</v>
      </c>
      <c r="AH32">
        <v>2</v>
      </c>
      <c r="AI32">
        <v>28181206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ROW(Source!A30)</f>
        <v>30</v>
      </c>
      <c r="B33">
        <v>28181207</v>
      </c>
      <c r="C33">
        <v>28181203</v>
      </c>
      <c r="D33">
        <v>25422302</v>
      </c>
      <c r="E33">
        <v>1</v>
      </c>
      <c r="F33">
        <v>1</v>
      </c>
      <c r="G33">
        <v>1</v>
      </c>
      <c r="H33">
        <v>2</v>
      </c>
      <c r="I33" t="s">
        <v>220</v>
      </c>
      <c r="J33" t="s">
        <v>221</v>
      </c>
      <c r="K33" t="s">
        <v>222</v>
      </c>
      <c r="L33">
        <v>1368</v>
      </c>
      <c r="N33">
        <v>1011</v>
      </c>
      <c r="O33" t="s">
        <v>168</v>
      </c>
      <c r="P33" t="s">
        <v>168</v>
      </c>
      <c r="Q33">
        <v>1</v>
      </c>
      <c r="X33">
        <v>1.4</v>
      </c>
      <c r="Y33">
        <v>0</v>
      </c>
      <c r="Z33">
        <v>17.2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1.4</v>
      </c>
      <c r="AH33">
        <v>2</v>
      </c>
      <c r="AI33">
        <v>28181207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ROW(Source!A30)</f>
        <v>30</v>
      </c>
      <c r="B34">
        <v>28181208</v>
      </c>
      <c r="C34">
        <v>28181203</v>
      </c>
      <c r="D34">
        <v>25422321</v>
      </c>
      <c r="E34">
        <v>1</v>
      </c>
      <c r="F34">
        <v>1</v>
      </c>
      <c r="G34">
        <v>1</v>
      </c>
      <c r="H34">
        <v>2</v>
      </c>
      <c r="I34" t="s">
        <v>169</v>
      </c>
      <c r="J34" t="s">
        <v>170</v>
      </c>
      <c r="K34" t="s">
        <v>171</v>
      </c>
      <c r="L34">
        <v>1368</v>
      </c>
      <c r="N34">
        <v>1011</v>
      </c>
      <c r="O34" t="s">
        <v>168</v>
      </c>
      <c r="P34" t="s">
        <v>168</v>
      </c>
      <c r="Q34">
        <v>1</v>
      </c>
      <c r="X34">
        <v>3.96</v>
      </c>
      <c r="Y34">
        <v>0</v>
      </c>
      <c r="Z34">
        <v>75</v>
      </c>
      <c r="AA34">
        <v>11.6</v>
      </c>
      <c r="AB34">
        <v>0</v>
      </c>
      <c r="AC34">
        <v>0</v>
      </c>
      <c r="AD34">
        <v>1</v>
      </c>
      <c r="AE34">
        <v>0</v>
      </c>
      <c r="AG34">
        <v>3.96</v>
      </c>
      <c r="AH34">
        <v>2</v>
      </c>
      <c r="AI34">
        <v>28181208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28181209</v>
      </c>
      <c r="C35">
        <v>28181203</v>
      </c>
      <c r="D35">
        <v>25422322</v>
      </c>
      <c r="E35">
        <v>1</v>
      </c>
      <c r="F35">
        <v>1</v>
      </c>
      <c r="G35">
        <v>1</v>
      </c>
      <c r="H35">
        <v>2</v>
      </c>
      <c r="I35" t="s">
        <v>223</v>
      </c>
      <c r="J35" t="s">
        <v>224</v>
      </c>
      <c r="K35" t="s">
        <v>225</v>
      </c>
      <c r="L35">
        <v>1368</v>
      </c>
      <c r="N35">
        <v>1011</v>
      </c>
      <c r="O35" t="s">
        <v>168</v>
      </c>
      <c r="P35" t="s">
        <v>168</v>
      </c>
      <c r="Q35">
        <v>1</v>
      </c>
      <c r="X35">
        <v>11.51</v>
      </c>
      <c r="Y35">
        <v>0</v>
      </c>
      <c r="Z35">
        <v>121</v>
      </c>
      <c r="AA35">
        <v>14.4</v>
      </c>
      <c r="AB35">
        <v>0</v>
      </c>
      <c r="AC35">
        <v>0</v>
      </c>
      <c r="AD35">
        <v>1</v>
      </c>
      <c r="AE35">
        <v>0</v>
      </c>
      <c r="AG35">
        <v>11.51</v>
      </c>
      <c r="AH35">
        <v>2</v>
      </c>
      <c r="AI35">
        <v>28181209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28181210</v>
      </c>
      <c r="C36">
        <v>28181203</v>
      </c>
      <c r="D36">
        <v>25422380</v>
      </c>
      <c r="E36">
        <v>1</v>
      </c>
      <c r="F36">
        <v>1</v>
      </c>
      <c r="G36">
        <v>1</v>
      </c>
      <c r="H36">
        <v>2</v>
      </c>
      <c r="I36" t="s">
        <v>204</v>
      </c>
      <c r="J36" t="s">
        <v>205</v>
      </c>
      <c r="K36" t="s">
        <v>206</v>
      </c>
      <c r="L36">
        <v>1368</v>
      </c>
      <c r="N36">
        <v>1011</v>
      </c>
      <c r="O36" t="s">
        <v>168</v>
      </c>
      <c r="P36" t="s">
        <v>168</v>
      </c>
      <c r="Q36">
        <v>1</v>
      </c>
      <c r="X36">
        <v>0.39</v>
      </c>
      <c r="Y36">
        <v>0</v>
      </c>
      <c r="Z36">
        <v>110</v>
      </c>
      <c r="AA36">
        <v>11.6</v>
      </c>
      <c r="AB36">
        <v>0</v>
      </c>
      <c r="AC36">
        <v>0</v>
      </c>
      <c r="AD36">
        <v>1</v>
      </c>
      <c r="AE36">
        <v>0</v>
      </c>
      <c r="AG36">
        <v>0.39</v>
      </c>
      <c r="AH36">
        <v>2</v>
      </c>
      <c r="AI36">
        <v>28181210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ROW(Source!A30)</f>
        <v>30</v>
      </c>
      <c r="B37">
        <v>28181211</v>
      </c>
      <c r="C37">
        <v>28181203</v>
      </c>
      <c r="D37">
        <v>25422402</v>
      </c>
      <c r="E37">
        <v>1</v>
      </c>
      <c r="F37">
        <v>1</v>
      </c>
      <c r="G37">
        <v>1</v>
      </c>
      <c r="H37">
        <v>2</v>
      </c>
      <c r="I37" t="s">
        <v>226</v>
      </c>
      <c r="J37" t="s">
        <v>227</v>
      </c>
      <c r="K37" t="s">
        <v>228</v>
      </c>
      <c r="L37">
        <v>1368</v>
      </c>
      <c r="N37">
        <v>1011</v>
      </c>
      <c r="O37" t="s">
        <v>168</v>
      </c>
      <c r="P37" t="s">
        <v>168</v>
      </c>
      <c r="Q37">
        <v>1</v>
      </c>
      <c r="X37">
        <v>3.19</v>
      </c>
      <c r="Y37">
        <v>0</v>
      </c>
      <c r="Z37">
        <v>195.2</v>
      </c>
      <c r="AA37">
        <v>14.4</v>
      </c>
      <c r="AB37">
        <v>0</v>
      </c>
      <c r="AC37">
        <v>0</v>
      </c>
      <c r="AD37">
        <v>1</v>
      </c>
      <c r="AE37">
        <v>0</v>
      </c>
      <c r="AG37">
        <v>3.19</v>
      </c>
      <c r="AH37">
        <v>2</v>
      </c>
      <c r="AI37">
        <v>28181211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ROW(Source!A30)</f>
        <v>30</v>
      </c>
      <c r="B38">
        <v>28181212</v>
      </c>
      <c r="C38">
        <v>28181203</v>
      </c>
      <c r="D38">
        <v>25423431</v>
      </c>
      <c r="E38">
        <v>1</v>
      </c>
      <c r="F38">
        <v>1</v>
      </c>
      <c r="G38">
        <v>1</v>
      </c>
      <c r="H38">
        <v>2</v>
      </c>
      <c r="I38" t="s">
        <v>178</v>
      </c>
      <c r="J38" t="s">
        <v>179</v>
      </c>
      <c r="K38" t="s">
        <v>180</v>
      </c>
      <c r="L38">
        <v>1368</v>
      </c>
      <c r="N38">
        <v>1011</v>
      </c>
      <c r="O38" t="s">
        <v>168</v>
      </c>
      <c r="P38" t="s">
        <v>168</v>
      </c>
      <c r="Q38">
        <v>1</v>
      </c>
      <c r="X38">
        <v>0.04</v>
      </c>
      <c r="Y38">
        <v>0</v>
      </c>
      <c r="Z38">
        <v>87.17</v>
      </c>
      <c r="AA38">
        <v>11.6</v>
      </c>
      <c r="AB38">
        <v>0</v>
      </c>
      <c r="AC38">
        <v>0</v>
      </c>
      <c r="AD38">
        <v>1</v>
      </c>
      <c r="AE38">
        <v>0</v>
      </c>
      <c r="AG38">
        <v>0.04</v>
      </c>
      <c r="AH38">
        <v>2</v>
      </c>
      <c r="AI38">
        <v>28181212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ROW(Source!A30)</f>
        <v>30</v>
      </c>
      <c r="B39">
        <v>28181213</v>
      </c>
      <c r="C39">
        <v>28181203</v>
      </c>
      <c r="D39">
        <v>25424590</v>
      </c>
      <c r="E39">
        <v>1</v>
      </c>
      <c r="F39">
        <v>1</v>
      </c>
      <c r="G39">
        <v>1</v>
      </c>
      <c r="H39">
        <v>3</v>
      </c>
      <c r="I39" t="s">
        <v>229</v>
      </c>
      <c r="J39" t="s">
        <v>230</v>
      </c>
      <c r="K39" t="s">
        <v>231</v>
      </c>
      <c r="L39">
        <v>1348</v>
      </c>
      <c r="N39">
        <v>1009</v>
      </c>
      <c r="O39" t="s">
        <v>74</v>
      </c>
      <c r="P39" t="s">
        <v>74</v>
      </c>
      <c r="Q39">
        <v>1000</v>
      </c>
      <c r="X39">
        <v>0.0062</v>
      </c>
      <c r="Y39">
        <v>5989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0.0062</v>
      </c>
      <c r="AH39">
        <v>2</v>
      </c>
      <c r="AI39">
        <v>28181213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ROW(Source!A30)</f>
        <v>30</v>
      </c>
      <c r="B40">
        <v>28181214</v>
      </c>
      <c r="C40">
        <v>28181203</v>
      </c>
      <c r="D40">
        <v>25425153</v>
      </c>
      <c r="E40">
        <v>1</v>
      </c>
      <c r="F40">
        <v>1</v>
      </c>
      <c r="G40">
        <v>1</v>
      </c>
      <c r="H40">
        <v>3</v>
      </c>
      <c r="I40" t="s">
        <v>181</v>
      </c>
      <c r="J40" t="s">
        <v>182</v>
      </c>
      <c r="K40" t="s">
        <v>183</v>
      </c>
      <c r="L40">
        <v>1348</v>
      </c>
      <c r="N40">
        <v>1009</v>
      </c>
      <c r="O40" t="s">
        <v>74</v>
      </c>
      <c r="P40" t="s">
        <v>74</v>
      </c>
      <c r="Q40">
        <v>1000</v>
      </c>
      <c r="X40">
        <v>0.0108</v>
      </c>
      <c r="Y40">
        <v>1690.01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0.0108</v>
      </c>
      <c r="AH40">
        <v>2</v>
      </c>
      <c r="AI40">
        <v>28181214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ROW(Source!A30)</f>
        <v>30</v>
      </c>
      <c r="B41">
        <v>28181215</v>
      </c>
      <c r="C41">
        <v>28181203</v>
      </c>
      <c r="D41">
        <v>25427244</v>
      </c>
      <c r="E41">
        <v>1</v>
      </c>
      <c r="F41">
        <v>1</v>
      </c>
      <c r="G41">
        <v>1</v>
      </c>
      <c r="H41">
        <v>3</v>
      </c>
      <c r="I41" t="s">
        <v>232</v>
      </c>
      <c r="J41" t="s">
        <v>233</v>
      </c>
      <c r="K41" t="s">
        <v>234</v>
      </c>
      <c r="L41">
        <v>1339</v>
      </c>
      <c r="N41">
        <v>1007</v>
      </c>
      <c r="O41" t="s">
        <v>45</v>
      </c>
      <c r="P41" t="s">
        <v>45</v>
      </c>
      <c r="Q41">
        <v>1</v>
      </c>
      <c r="X41">
        <v>0.15</v>
      </c>
      <c r="Y41">
        <v>1287.01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0.15</v>
      </c>
      <c r="AH41">
        <v>2</v>
      </c>
      <c r="AI41">
        <v>28181215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ROW(Source!A30)</f>
        <v>30</v>
      </c>
      <c r="B42">
        <v>28181216</v>
      </c>
      <c r="C42">
        <v>28181203</v>
      </c>
      <c r="D42">
        <v>25443063</v>
      </c>
      <c r="E42">
        <v>1</v>
      </c>
      <c r="F42">
        <v>1</v>
      </c>
      <c r="G42">
        <v>1</v>
      </c>
      <c r="H42">
        <v>3</v>
      </c>
      <c r="I42" t="s">
        <v>235</v>
      </c>
      <c r="J42" t="s">
        <v>236</v>
      </c>
      <c r="K42" t="s">
        <v>237</v>
      </c>
      <c r="L42">
        <v>1348</v>
      </c>
      <c r="N42">
        <v>1009</v>
      </c>
      <c r="O42" t="s">
        <v>74</v>
      </c>
      <c r="P42" t="s">
        <v>74</v>
      </c>
      <c r="Q42">
        <v>1000</v>
      </c>
      <c r="X42">
        <v>96.6</v>
      </c>
      <c r="Y42">
        <v>535.5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96.6</v>
      </c>
      <c r="AH42">
        <v>2</v>
      </c>
      <c r="AI42">
        <v>28181216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ROW(Source!A31)</f>
        <v>31</v>
      </c>
      <c r="B43">
        <v>28181218</v>
      </c>
      <c r="C43">
        <v>28181217</v>
      </c>
      <c r="D43">
        <v>25476969</v>
      </c>
      <c r="E43">
        <v>1</v>
      </c>
      <c r="F43">
        <v>1</v>
      </c>
      <c r="G43">
        <v>1</v>
      </c>
      <c r="H43">
        <v>1</v>
      </c>
      <c r="I43" t="s">
        <v>215</v>
      </c>
      <c r="K43" t="s">
        <v>216</v>
      </c>
      <c r="L43">
        <v>1369</v>
      </c>
      <c r="N43">
        <v>1013</v>
      </c>
      <c r="O43" t="s">
        <v>162</v>
      </c>
      <c r="P43" t="s">
        <v>162</v>
      </c>
      <c r="Q43">
        <v>1</v>
      </c>
      <c r="X43">
        <v>0.09</v>
      </c>
      <c r="Y43">
        <v>0</v>
      </c>
      <c r="Z43">
        <v>0</v>
      </c>
      <c r="AA43">
        <v>0</v>
      </c>
      <c r="AB43">
        <v>9.62</v>
      </c>
      <c r="AC43">
        <v>0</v>
      </c>
      <c r="AD43">
        <v>1</v>
      </c>
      <c r="AE43">
        <v>1</v>
      </c>
      <c r="AF43" t="s">
        <v>64</v>
      </c>
      <c r="AG43">
        <v>0.18</v>
      </c>
      <c r="AH43">
        <v>2</v>
      </c>
      <c r="AI43">
        <v>28181218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ROW(Source!A31)</f>
        <v>31</v>
      </c>
      <c r="B44">
        <v>28181219</v>
      </c>
      <c r="C44">
        <v>28181217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25</v>
      </c>
      <c r="K44" t="s">
        <v>163</v>
      </c>
      <c r="L44">
        <v>608254</v>
      </c>
      <c r="N44">
        <v>1013</v>
      </c>
      <c r="O44" t="s">
        <v>164</v>
      </c>
      <c r="P44" t="s">
        <v>164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64</v>
      </c>
      <c r="AG44">
        <v>0</v>
      </c>
      <c r="AH44">
        <v>2</v>
      </c>
      <c r="AI44">
        <v>28181219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ROW(Source!A31)</f>
        <v>31</v>
      </c>
      <c r="B45">
        <v>28181220</v>
      </c>
      <c r="C45">
        <v>28181217</v>
      </c>
      <c r="D45">
        <v>25422302</v>
      </c>
      <c r="E45">
        <v>1</v>
      </c>
      <c r="F45">
        <v>1</v>
      </c>
      <c r="G45">
        <v>1</v>
      </c>
      <c r="H45">
        <v>2</v>
      </c>
      <c r="I45" t="s">
        <v>220</v>
      </c>
      <c r="J45" t="s">
        <v>221</v>
      </c>
      <c r="K45" t="s">
        <v>222</v>
      </c>
      <c r="L45">
        <v>1368</v>
      </c>
      <c r="N45">
        <v>1011</v>
      </c>
      <c r="O45" t="s">
        <v>168</v>
      </c>
      <c r="P45" t="s">
        <v>168</v>
      </c>
      <c r="Q45">
        <v>1</v>
      </c>
      <c r="X45">
        <v>0.18</v>
      </c>
      <c r="Y45">
        <v>0</v>
      </c>
      <c r="Z45">
        <v>17.2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64</v>
      </c>
      <c r="AG45">
        <v>0.36</v>
      </c>
      <c r="AH45">
        <v>2</v>
      </c>
      <c r="AI45">
        <v>28181220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ROW(Source!A31)</f>
        <v>31</v>
      </c>
      <c r="B46">
        <v>28181221</v>
      </c>
      <c r="C46">
        <v>28181217</v>
      </c>
      <c r="D46">
        <v>25425153</v>
      </c>
      <c r="E46">
        <v>1</v>
      </c>
      <c r="F46">
        <v>1</v>
      </c>
      <c r="G46">
        <v>1</v>
      </c>
      <c r="H46">
        <v>3</v>
      </c>
      <c r="I46" t="s">
        <v>181</v>
      </c>
      <c r="J46" t="s">
        <v>182</v>
      </c>
      <c r="K46" t="s">
        <v>183</v>
      </c>
      <c r="L46">
        <v>1348</v>
      </c>
      <c r="N46">
        <v>1009</v>
      </c>
      <c r="O46" t="s">
        <v>74</v>
      </c>
      <c r="P46" t="s">
        <v>74</v>
      </c>
      <c r="Q46">
        <v>1000</v>
      </c>
      <c r="X46">
        <v>0.0014</v>
      </c>
      <c r="Y46">
        <v>1690.01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64</v>
      </c>
      <c r="AG46">
        <v>0.0028</v>
      </c>
      <c r="AH46">
        <v>2</v>
      </c>
      <c r="AI46">
        <v>28181221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ROW(Source!A31)</f>
        <v>31</v>
      </c>
      <c r="B47">
        <v>28181222</v>
      </c>
      <c r="C47">
        <v>28181217</v>
      </c>
      <c r="D47">
        <v>25443063</v>
      </c>
      <c r="E47">
        <v>1</v>
      </c>
      <c r="F47">
        <v>1</v>
      </c>
      <c r="G47">
        <v>1</v>
      </c>
      <c r="H47">
        <v>3</v>
      </c>
      <c r="I47" t="s">
        <v>235</v>
      </c>
      <c r="J47" t="s">
        <v>236</v>
      </c>
      <c r="K47" t="s">
        <v>237</v>
      </c>
      <c r="L47">
        <v>1348</v>
      </c>
      <c r="N47">
        <v>1009</v>
      </c>
      <c r="O47" t="s">
        <v>74</v>
      </c>
      <c r="P47" t="s">
        <v>74</v>
      </c>
      <c r="Q47">
        <v>1000</v>
      </c>
      <c r="X47">
        <v>12.1</v>
      </c>
      <c r="Y47">
        <v>535.5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64</v>
      </c>
      <c r="AG47">
        <v>24.2</v>
      </c>
      <c r="AH47">
        <v>2</v>
      </c>
      <c r="AI47">
        <v>28181222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ROW(Source!A32)</f>
        <v>32</v>
      </c>
      <c r="B48">
        <v>28181269</v>
      </c>
      <c r="C48">
        <v>28181268</v>
      </c>
      <c r="D48">
        <v>25472986</v>
      </c>
      <c r="E48">
        <v>1</v>
      </c>
      <c r="F48">
        <v>1</v>
      </c>
      <c r="G48">
        <v>1</v>
      </c>
      <c r="H48">
        <v>1</v>
      </c>
      <c r="I48" t="s">
        <v>238</v>
      </c>
      <c r="K48" t="s">
        <v>239</v>
      </c>
      <c r="L48">
        <v>1369</v>
      </c>
      <c r="N48">
        <v>1013</v>
      </c>
      <c r="O48" t="s">
        <v>162</v>
      </c>
      <c r="P48" t="s">
        <v>162</v>
      </c>
      <c r="Q48">
        <v>1</v>
      </c>
      <c r="X48">
        <v>364.8</v>
      </c>
      <c r="Y48">
        <v>0</v>
      </c>
      <c r="Z48">
        <v>0</v>
      </c>
      <c r="AA48">
        <v>0</v>
      </c>
      <c r="AB48">
        <v>8.53</v>
      </c>
      <c r="AC48">
        <v>0</v>
      </c>
      <c r="AD48">
        <v>1</v>
      </c>
      <c r="AE48">
        <v>1</v>
      </c>
      <c r="AG48">
        <v>364.8</v>
      </c>
      <c r="AH48">
        <v>2</v>
      </c>
      <c r="AI48">
        <v>28181269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ROW(Source!A32)</f>
        <v>32</v>
      </c>
      <c r="B49">
        <v>28181270</v>
      </c>
      <c r="C49">
        <v>28181268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25</v>
      </c>
      <c r="K49" t="s">
        <v>163</v>
      </c>
      <c r="L49">
        <v>608254</v>
      </c>
      <c r="N49">
        <v>1013</v>
      </c>
      <c r="O49" t="s">
        <v>164</v>
      </c>
      <c r="P49" t="s">
        <v>164</v>
      </c>
      <c r="Q49">
        <v>1</v>
      </c>
      <c r="X49">
        <v>14.28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G49">
        <v>14.28</v>
      </c>
      <c r="AH49">
        <v>2</v>
      </c>
      <c r="AI49">
        <v>28181270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ROW(Source!A32)</f>
        <v>32</v>
      </c>
      <c r="B50">
        <v>28181271</v>
      </c>
      <c r="C50">
        <v>28181268</v>
      </c>
      <c r="D50">
        <v>25421695</v>
      </c>
      <c r="E50">
        <v>1</v>
      </c>
      <c r="F50">
        <v>1</v>
      </c>
      <c r="G50">
        <v>1</v>
      </c>
      <c r="H50">
        <v>2</v>
      </c>
      <c r="I50" t="s">
        <v>217</v>
      </c>
      <c r="J50" t="s">
        <v>218</v>
      </c>
      <c r="K50" t="s">
        <v>219</v>
      </c>
      <c r="L50">
        <v>1368</v>
      </c>
      <c r="N50">
        <v>1011</v>
      </c>
      <c r="O50" t="s">
        <v>168</v>
      </c>
      <c r="P50" t="s">
        <v>168</v>
      </c>
      <c r="Q50">
        <v>1</v>
      </c>
      <c r="X50">
        <v>1.52</v>
      </c>
      <c r="Y50">
        <v>0</v>
      </c>
      <c r="Z50">
        <v>112</v>
      </c>
      <c r="AA50">
        <v>13.5</v>
      </c>
      <c r="AB50">
        <v>0</v>
      </c>
      <c r="AC50">
        <v>0</v>
      </c>
      <c r="AD50">
        <v>1</v>
      </c>
      <c r="AE50">
        <v>0</v>
      </c>
      <c r="AG50">
        <v>1.52</v>
      </c>
      <c r="AH50">
        <v>2</v>
      </c>
      <c r="AI50">
        <v>28181271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ROW(Source!A32)</f>
        <v>32</v>
      </c>
      <c r="B51">
        <v>28181272</v>
      </c>
      <c r="C51">
        <v>28181268</v>
      </c>
      <c r="D51">
        <v>25422668</v>
      </c>
      <c r="E51">
        <v>1</v>
      </c>
      <c r="F51">
        <v>1</v>
      </c>
      <c r="G51">
        <v>1</v>
      </c>
      <c r="H51">
        <v>2</v>
      </c>
      <c r="I51" t="s">
        <v>240</v>
      </c>
      <c r="J51" t="s">
        <v>241</v>
      </c>
      <c r="K51" t="s">
        <v>242</v>
      </c>
      <c r="L51">
        <v>1368</v>
      </c>
      <c r="N51">
        <v>1011</v>
      </c>
      <c r="O51" t="s">
        <v>168</v>
      </c>
      <c r="P51" t="s">
        <v>168</v>
      </c>
      <c r="Q51">
        <v>1</v>
      </c>
      <c r="X51">
        <v>12.76</v>
      </c>
      <c r="Y51">
        <v>0</v>
      </c>
      <c r="Z51">
        <v>187.68</v>
      </c>
      <c r="AA51">
        <v>16.46</v>
      </c>
      <c r="AB51">
        <v>0</v>
      </c>
      <c r="AC51">
        <v>0</v>
      </c>
      <c r="AD51">
        <v>1</v>
      </c>
      <c r="AE51">
        <v>0</v>
      </c>
      <c r="AG51">
        <v>12.76</v>
      </c>
      <c r="AH51">
        <v>2</v>
      </c>
      <c r="AI51">
        <v>28181272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ROW(Source!A32)</f>
        <v>32</v>
      </c>
      <c r="B52">
        <v>28181273</v>
      </c>
      <c r="C52">
        <v>28181268</v>
      </c>
      <c r="D52">
        <v>25423431</v>
      </c>
      <c r="E52">
        <v>1</v>
      </c>
      <c r="F52">
        <v>1</v>
      </c>
      <c r="G52">
        <v>1</v>
      </c>
      <c r="H52">
        <v>2</v>
      </c>
      <c r="I52" t="s">
        <v>178</v>
      </c>
      <c r="J52" t="s">
        <v>179</v>
      </c>
      <c r="K52" t="s">
        <v>180</v>
      </c>
      <c r="L52">
        <v>1368</v>
      </c>
      <c r="N52">
        <v>1011</v>
      </c>
      <c r="O52" t="s">
        <v>168</v>
      </c>
      <c r="P52" t="s">
        <v>168</v>
      </c>
      <c r="Q52">
        <v>1</v>
      </c>
      <c r="X52">
        <v>2.01</v>
      </c>
      <c r="Y52">
        <v>0</v>
      </c>
      <c r="Z52">
        <v>87.17</v>
      </c>
      <c r="AA52">
        <v>11.6</v>
      </c>
      <c r="AB52">
        <v>0</v>
      </c>
      <c r="AC52">
        <v>0</v>
      </c>
      <c r="AD52">
        <v>1</v>
      </c>
      <c r="AE52">
        <v>0</v>
      </c>
      <c r="AG52">
        <v>2.01</v>
      </c>
      <c r="AH52">
        <v>2</v>
      </c>
      <c r="AI52">
        <v>28181273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ROW(Source!A32)</f>
        <v>32</v>
      </c>
      <c r="B53">
        <v>28181274</v>
      </c>
      <c r="C53">
        <v>28181268</v>
      </c>
      <c r="D53">
        <v>25424293</v>
      </c>
      <c r="E53">
        <v>1</v>
      </c>
      <c r="F53">
        <v>1</v>
      </c>
      <c r="G53">
        <v>1</v>
      </c>
      <c r="H53">
        <v>3</v>
      </c>
      <c r="I53" t="s">
        <v>243</v>
      </c>
      <c r="J53" t="s">
        <v>244</v>
      </c>
      <c r="K53" t="s">
        <v>245</v>
      </c>
      <c r="L53">
        <v>1348</v>
      </c>
      <c r="N53">
        <v>1009</v>
      </c>
      <c r="O53" t="s">
        <v>74</v>
      </c>
      <c r="P53" t="s">
        <v>74</v>
      </c>
      <c r="Q53">
        <v>1000</v>
      </c>
      <c r="X53">
        <v>0.048</v>
      </c>
      <c r="Y53">
        <v>19400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0.048</v>
      </c>
      <c r="AH53">
        <v>2</v>
      </c>
      <c r="AI53">
        <v>28181274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ROW(Source!A32)</f>
        <v>32</v>
      </c>
      <c r="B54">
        <v>28181275</v>
      </c>
      <c r="C54">
        <v>28181268</v>
      </c>
      <c r="D54">
        <v>25424388</v>
      </c>
      <c r="E54">
        <v>1</v>
      </c>
      <c r="F54">
        <v>1</v>
      </c>
      <c r="G54">
        <v>1</v>
      </c>
      <c r="H54">
        <v>3</v>
      </c>
      <c r="I54" t="s">
        <v>246</v>
      </c>
      <c r="J54" t="s">
        <v>247</v>
      </c>
      <c r="K54" t="s">
        <v>248</v>
      </c>
      <c r="L54">
        <v>1348</v>
      </c>
      <c r="N54">
        <v>1009</v>
      </c>
      <c r="O54" t="s">
        <v>74</v>
      </c>
      <c r="P54" t="s">
        <v>74</v>
      </c>
      <c r="Q54">
        <v>1000</v>
      </c>
      <c r="X54">
        <v>0.01935</v>
      </c>
      <c r="Y54">
        <v>35003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0.01935</v>
      </c>
      <c r="AH54">
        <v>2</v>
      </c>
      <c r="AI54">
        <v>28181275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ROW(Source!A32)</f>
        <v>32</v>
      </c>
      <c r="B55">
        <v>28181276</v>
      </c>
      <c r="C55">
        <v>28181268</v>
      </c>
      <c r="D55">
        <v>25424462</v>
      </c>
      <c r="E55">
        <v>1</v>
      </c>
      <c r="F55">
        <v>1</v>
      </c>
      <c r="G55">
        <v>1</v>
      </c>
      <c r="H55">
        <v>3</v>
      </c>
      <c r="I55" t="s">
        <v>249</v>
      </c>
      <c r="J55" t="s">
        <v>250</v>
      </c>
      <c r="K55" t="s">
        <v>251</v>
      </c>
      <c r="L55">
        <v>1348</v>
      </c>
      <c r="N55">
        <v>1009</v>
      </c>
      <c r="O55" t="s">
        <v>74</v>
      </c>
      <c r="P55" t="s">
        <v>74</v>
      </c>
      <c r="Q55">
        <v>1000</v>
      </c>
      <c r="X55">
        <v>0.00562</v>
      </c>
      <c r="Y55">
        <v>15989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0.00562</v>
      </c>
      <c r="AH55">
        <v>2</v>
      </c>
      <c r="AI55">
        <v>28181276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ROW(Source!A32)</f>
        <v>32</v>
      </c>
      <c r="B56">
        <v>28181277</v>
      </c>
      <c r="C56">
        <v>28181268</v>
      </c>
      <c r="D56">
        <v>25424642</v>
      </c>
      <c r="E56">
        <v>1</v>
      </c>
      <c r="F56">
        <v>1</v>
      </c>
      <c r="G56">
        <v>1</v>
      </c>
      <c r="H56">
        <v>3</v>
      </c>
      <c r="I56" t="s">
        <v>252</v>
      </c>
      <c r="J56" t="s">
        <v>253</v>
      </c>
      <c r="K56" t="s">
        <v>254</v>
      </c>
      <c r="L56">
        <v>1348</v>
      </c>
      <c r="N56">
        <v>1009</v>
      </c>
      <c r="O56" t="s">
        <v>74</v>
      </c>
      <c r="P56" t="s">
        <v>74</v>
      </c>
      <c r="Q56">
        <v>1000</v>
      </c>
      <c r="X56">
        <v>0.00338</v>
      </c>
      <c r="Y56">
        <v>5479.89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0.00338</v>
      </c>
      <c r="AH56">
        <v>2</v>
      </c>
      <c r="AI56">
        <v>28181277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ROW(Source!A32)</f>
        <v>32</v>
      </c>
      <c r="B57">
        <v>28181278</v>
      </c>
      <c r="C57">
        <v>28181268</v>
      </c>
      <c r="D57">
        <v>25427141</v>
      </c>
      <c r="E57">
        <v>1</v>
      </c>
      <c r="F57">
        <v>1</v>
      </c>
      <c r="G57">
        <v>1</v>
      </c>
      <c r="H57">
        <v>3</v>
      </c>
      <c r="I57" t="s">
        <v>255</v>
      </c>
      <c r="J57" t="s">
        <v>256</v>
      </c>
      <c r="K57" t="s">
        <v>257</v>
      </c>
      <c r="L57">
        <v>1354</v>
      </c>
      <c r="N57">
        <v>1010</v>
      </c>
      <c r="O57" t="s">
        <v>82</v>
      </c>
      <c r="P57" t="s">
        <v>82</v>
      </c>
      <c r="Q57">
        <v>1</v>
      </c>
      <c r="X57">
        <v>100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G57">
        <v>100</v>
      </c>
      <c r="AH57">
        <v>2</v>
      </c>
      <c r="AI57">
        <v>28181278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ROW(Source!A32)</f>
        <v>32</v>
      </c>
      <c r="B58">
        <v>28181279</v>
      </c>
      <c r="C58">
        <v>28181268</v>
      </c>
      <c r="D58">
        <v>25430296</v>
      </c>
      <c r="E58">
        <v>1</v>
      </c>
      <c r="F58">
        <v>1</v>
      </c>
      <c r="G58">
        <v>1</v>
      </c>
      <c r="H58">
        <v>3</v>
      </c>
      <c r="I58" t="s">
        <v>258</v>
      </c>
      <c r="J58" t="s">
        <v>259</v>
      </c>
      <c r="K58" t="s">
        <v>260</v>
      </c>
      <c r="L58">
        <v>1348</v>
      </c>
      <c r="N58">
        <v>1009</v>
      </c>
      <c r="O58" t="s">
        <v>74</v>
      </c>
      <c r="P58" t="s">
        <v>74</v>
      </c>
      <c r="Q58">
        <v>1000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G58">
        <v>0</v>
      </c>
      <c r="AH58">
        <v>2</v>
      </c>
      <c r="AI58">
        <v>28181279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2012-09-04T10:23:55Z</dcterms:modified>
  <cp:category/>
  <cp:version/>
  <cp:contentType/>
  <cp:contentStatus/>
</cp:coreProperties>
</file>